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2120" windowHeight="4755" activeTab="3"/>
  </bookViews>
  <sheets>
    <sheet name="Donors" sheetId="1" r:id="rId1"/>
    <sheet name="04600" sheetId="2" r:id="rId2"/>
    <sheet name="04830" sheetId="3" r:id="rId3"/>
    <sheet name="More than 5%" sheetId="4" r:id="rId4"/>
  </sheets>
  <externalReferences>
    <externalReference r:id="rId7"/>
    <externalReference r:id="rId8"/>
    <externalReference r:id="rId9"/>
    <externalReference r:id="rId10"/>
  </externalReferences>
  <definedNames>
    <definedName name="bj">'[3]Daten'!$C$3</definedName>
    <definedName name="bjb">'[4]Daten'!$C$2</definedName>
    <definedName name="bje">'[1]Daten'!$C$1</definedName>
    <definedName name="Grants">"Grants-Status7-98-ts"</definedName>
    <definedName name="_xlnm.Print_Area" localSheetId="0">'Donors'!$A$1:$I$121</definedName>
    <definedName name="vje">'[2]Daten'!$C$1</definedName>
    <definedName name="vjwort">'[1]Daten'!$C$5</definedName>
    <definedName name="wg">'[3]Daten'!$C$11</definedName>
    <definedName name="wk">'[1]Daten'!$C$10</definedName>
  </definedNames>
  <calcPr fullCalcOnLoad="1"/>
</workbook>
</file>

<file path=xl/sharedStrings.xml><?xml version="1.0" encoding="utf-8"?>
<sst xmlns="http://schemas.openxmlformats.org/spreadsheetml/2006/main" count="256" uniqueCount="171">
  <si>
    <t>Total Disbursements</t>
  </si>
  <si>
    <t>Recorded as Income</t>
  </si>
  <si>
    <t>European Commission</t>
  </si>
  <si>
    <t>U.S. Agency for International Development (USAID)</t>
  </si>
  <si>
    <t>Swiss Agency for Development and Cooperation (SDC)</t>
  </si>
  <si>
    <t>Canadian International Development Agency (CIDA)</t>
  </si>
  <si>
    <t>Ministry of Foreign Affairs, The Netherlands</t>
  </si>
  <si>
    <t>The Ford Foundation, USA</t>
  </si>
  <si>
    <t>AVINA Group, Switzerland</t>
  </si>
  <si>
    <t>Norwegian Agency for International Development (NORAD)</t>
  </si>
  <si>
    <t>Swedish International Development Cooperation Agency (SIDA)</t>
  </si>
  <si>
    <t>Christian Michelsen Institute (CMI), Norway</t>
  </si>
  <si>
    <t>Australian Agency for International Development (AusAID)</t>
  </si>
  <si>
    <t>OSI Development Foundation, Switzerland</t>
  </si>
  <si>
    <t>Royal Danish Ministry of Foreign Affairs (DANIDA)</t>
  </si>
  <si>
    <t>The Ministry of Foreign Affairs and Trade, New Zealand (NZAID)</t>
  </si>
  <si>
    <t>Tinker Foundation, Inc., USA</t>
  </si>
  <si>
    <t xml:space="preserve">Tsinghua University, China </t>
  </si>
  <si>
    <t>United Nations Development Programme (UNDP)</t>
  </si>
  <si>
    <t>Hartmut Fischer, Germany</t>
  </si>
  <si>
    <t>United Nations Foundation</t>
  </si>
  <si>
    <t>ABB Ltd.</t>
  </si>
  <si>
    <t>Center for International Private Enterprise (CIPE), USA</t>
  </si>
  <si>
    <t>Other (less than Euro 1,000 each)</t>
  </si>
  <si>
    <t>Totals</t>
  </si>
  <si>
    <t>ab</t>
  </si>
  <si>
    <t>G</t>
  </si>
  <si>
    <t>Governmental Agencies</t>
  </si>
  <si>
    <t>Foundations</t>
  </si>
  <si>
    <t>Individual Donors</t>
  </si>
  <si>
    <t>F</t>
  </si>
  <si>
    <t>O</t>
  </si>
  <si>
    <t>C</t>
  </si>
  <si>
    <t>I</t>
  </si>
  <si>
    <t>Ministry for Economic Cooperation and Development (BMZ), Germany</t>
  </si>
  <si>
    <t>German Corporation for Technical Cooperation (GTZ), Germany</t>
  </si>
  <si>
    <t>TI Germany</t>
  </si>
  <si>
    <t>BP International</t>
  </si>
  <si>
    <t xml:space="preserve">Motorola Inc. </t>
  </si>
  <si>
    <t>Rio Tinto London Ltd.</t>
  </si>
  <si>
    <t>SAP AG</t>
  </si>
  <si>
    <t>Bombardier Inc.</t>
  </si>
  <si>
    <t>Fluor Corporation</t>
  </si>
  <si>
    <t>International Federation of Inspection Agencies</t>
  </si>
  <si>
    <t>ISIS</t>
  </si>
  <si>
    <t>Basel Institute on Governance, Switzerland</t>
  </si>
  <si>
    <t>Consolidated Contractors</t>
  </si>
  <si>
    <t>Corporate Donors / Contributions to Project Outlays</t>
  </si>
  <si>
    <t>Federal Foreign Office, Germany</t>
  </si>
  <si>
    <t>Amanco</t>
  </si>
  <si>
    <t>Government of Guatemala</t>
  </si>
  <si>
    <t>Foreign &amp; Commonwealth Office, UK (FCO)</t>
  </si>
  <si>
    <t>CIPE</t>
  </si>
  <si>
    <t>EBRD</t>
  </si>
  <si>
    <t>F&amp;C Asset Management PLC</t>
  </si>
  <si>
    <t>European Bank for Reconstruction and Development (EBRD)</t>
  </si>
  <si>
    <t>Trace International</t>
  </si>
  <si>
    <t>04830 Sonst. Einnahmen/Spenden  2005</t>
  </si>
  <si>
    <t>Belegdatum</t>
  </si>
  <si>
    <t>Belegnr.</t>
  </si>
  <si>
    <t>Anonymous contribution (more than Euro 1,000 each)</t>
  </si>
  <si>
    <t>Calvert Asset</t>
  </si>
  <si>
    <t>Lahmeyer International</t>
  </si>
  <si>
    <t>Ministry for Foreign Affairs, Norway</t>
  </si>
  <si>
    <t>Starr Foundation, USA</t>
  </si>
  <si>
    <t>European Investment Bank (EIB)</t>
  </si>
  <si>
    <t>Stockholm International Water Institute, Sweden</t>
  </si>
  <si>
    <t>Partners of the Americas, USA</t>
  </si>
  <si>
    <t>Gesamtverband Kommunikationsagenturen, Germany (GWA)</t>
  </si>
  <si>
    <t>Deutsche Investitions- und Entwicklungsgesellschaft mbH, Germany (DEG)</t>
  </si>
  <si>
    <t>IHK Frankfurt, Germany</t>
  </si>
  <si>
    <t>Nexen Inc.</t>
  </si>
  <si>
    <t>Pfizer Inc.</t>
  </si>
  <si>
    <t>General Electric Corporation</t>
  </si>
  <si>
    <t>Norsk Hydro</t>
  </si>
  <si>
    <t>Merck, USA</t>
  </si>
  <si>
    <t>KPMG</t>
  </si>
  <si>
    <t>Hilti Corporation</t>
  </si>
  <si>
    <t>Hochtief AG</t>
  </si>
  <si>
    <t>Skanska</t>
  </si>
  <si>
    <t>George Gund III, USA</t>
  </si>
  <si>
    <t>Ministry for Foreign Affairs of Finland</t>
  </si>
  <si>
    <t>The World Bank (IBRD)</t>
  </si>
  <si>
    <t>Changes in accrued disbursements</t>
  </si>
  <si>
    <t>2005
Euro</t>
  </si>
  <si>
    <t>2006
Euro</t>
  </si>
  <si>
    <t>Hungarian National Development Office</t>
  </si>
  <si>
    <t>K-Pact Council, South Korea</t>
  </si>
  <si>
    <t>Middle East Partnership Initiative</t>
  </si>
  <si>
    <t>Inter-American Development Bank (IADB)</t>
  </si>
  <si>
    <t>French Ministry of Foreign Affairs</t>
  </si>
  <si>
    <t>Ernst &amp; Young</t>
  </si>
  <si>
    <t>Name</t>
  </si>
  <si>
    <t>ABB</t>
  </si>
  <si>
    <t>Anglo American Group Foundation, UK</t>
  </si>
  <si>
    <t>BP plc</t>
  </si>
  <si>
    <t>Consolidators</t>
  </si>
  <si>
    <t>Credit Suisse</t>
  </si>
  <si>
    <t>Deutsche Bank AG, Germany</t>
  </si>
  <si>
    <t>F &amp; C Asset Management</t>
  </si>
  <si>
    <t>Fluor</t>
  </si>
  <si>
    <t>Halcrow</t>
  </si>
  <si>
    <t>Hilti</t>
  </si>
  <si>
    <t>Hochtief</t>
  </si>
  <si>
    <t>HSBC Holdings plc</t>
  </si>
  <si>
    <t>Nexen</t>
  </si>
  <si>
    <t>Norsk Hydro ASA</t>
  </si>
  <si>
    <t>Pfizer</t>
  </si>
  <si>
    <t>Procter &amp; Gamble CEEMEA, Switzerland</t>
  </si>
  <si>
    <t>PWC LLP</t>
  </si>
  <si>
    <t>Rio Tinto plc</t>
  </si>
  <si>
    <t>SGS AG</t>
  </si>
  <si>
    <t>Shell International B.V.</t>
  </si>
  <si>
    <t>Sika Services AG</t>
  </si>
  <si>
    <t>SNC</t>
  </si>
  <si>
    <t>Trace</t>
  </si>
  <si>
    <t>UBS AG</t>
  </si>
  <si>
    <t>04600 Einnahme Privater Sektor 2006</t>
  </si>
  <si>
    <t>Fidelity Forex Inc, USA</t>
  </si>
  <si>
    <t>KPMG, Germany</t>
  </si>
  <si>
    <t>Others &lt; € 1,000</t>
  </si>
  <si>
    <t>XL Capital Ltd, Bermuda</t>
  </si>
  <si>
    <t>Per Skalen, Sweden</t>
  </si>
  <si>
    <t>Bettina von Bogen, Germany</t>
  </si>
  <si>
    <t>Gary Geoghegan, USA</t>
  </si>
  <si>
    <t>Arnesto Goncalves Segredo, Netherlands</t>
  </si>
  <si>
    <t>Deutsches Institut für interne Revision, Germany</t>
  </si>
  <si>
    <t>Gem. Gen. Z. Aufbau D. Freien, Germany</t>
  </si>
  <si>
    <t>Anglo American Group Foundation</t>
  </si>
  <si>
    <t>Procter &amp; Gamble CEEMEA</t>
  </si>
  <si>
    <t>Shell International BV/Ltd.</t>
  </si>
  <si>
    <t>Deutsche Bank AG</t>
  </si>
  <si>
    <t>XL Capital Ltd.</t>
  </si>
  <si>
    <t>Deutsches Institut für interne Revision</t>
  </si>
  <si>
    <t>Gemeinnützige Genossenschaft zum Aufbau der Freien Waldorfschule e.G.</t>
  </si>
  <si>
    <t>Carter Center, USA</t>
  </si>
  <si>
    <t>Hunter White, USA</t>
  </si>
  <si>
    <t>Legatum Global Development (formerly Sovereign Global Development Ltd.)</t>
  </si>
  <si>
    <t>Halcrow Group Ltd.</t>
  </si>
  <si>
    <t>Department for International Development, United Kingdom (DfID) PPA</t>
  </si>
  <si>
    <t>Department for International Development, United Kingdom (DfID)</t>
  </si>
  <si>
    <t>Irish Aid</t>
  </si>
  <si>
    <t>Fondation Pro Victimis, Switzerland</t>
  </si>
  <si>
    <t>PricewaterhouseCoopers</t>
  </si>
  <si>
    <t>SNC Lavalin</t>
  </si>
  <si>
    <t>Per Skalen</t>
  </si>
  <si>
    <t>William F. Biggs</t>
  </si>
  <si>
    <t>Bettina von Bogen</t>
  </si>
  <si>
    <t>Hartmut Fischer</t>
  </si>
  <si>
    <t>George Gund III</t>
  </si>
  <si>
    <t>Gary Geoghegan</t>
  </si>
  <si>
    <t>Arnesto Goncalves Segredo</t>
  </si>
  <si>
    <t>Other development Organizations</t>
  </si>
  <si>
    <t xml:space="preserve">Donor for Transparency International e.V.
</t>
  </si>
  <si>
    <t>EUROPE AND CENTRAL ASIA</t>
  </si>
  <si>
    <t>Germany</t>
  </si>
  <si>
    <t>Finland</t>
  </si>
  <si>
    <t>Netherlands</t>
  </si>
  <si>
    <t>Denmark</t>
  </si>
  <si>
    <t>Canada</t>
  </si>
  <si>
    <t>AMERICAS</t>
  </si>
  <si>
    <t xml:space="preserve"> </t>
  </si>
  <si>
    <t>Switzerland</t>
  </si>
  <si>
    <t>Norway</t>
  </si>
  <si>
    <t>Ger</t>
  </si>
  <si>
    <t>Swt</t>
  </si>
  <si>
    <t>UK</t>
  </si>
  <si>
    <t>Nor</t>
  </si>
  <si>
    <t>USA</t>
  </si>
  <si>
    <t>United Kingdom</t>
  </si>
  <si>
    <t>Neth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</si>
</sst>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ddd\,&quot; der&quot;mmmm/yyyy"/>
    <numFmt numFmtId="169" formatCode="dddd\,&quot; der&quot;\ dd/mmmm\ yyyy"/>
    <numFmt numFmtId="170" formatCode="_([$€]* #,##0.00_);_([$€]* \(#,##0.00\);_([$€]* &quot;-&quot;??_);_(@_)"/>
  </numFmts>
  <fonts count="48">
    <font>
      <sz val="10"/>
      <name val="Arial"/>
      <family val="0"/>
    </font>
    <font>
      <sz val="11"/>
      <name val="Arial"/>
      <family val="2"/>
    </font>
    <font>
      <sz val="10"/>
      <name val="MS Sans Serif"/>
      <family val="2"/>
    </font>
    <font>
      <sz val="10"/>
      <color indexed="8"/>
      <name val="Geneva"/>
      <family val="0"/>
    </font>
    <font>
      <u val="single"/>
      <sz val="7.5"/>
      <color indexed="36"/>
      <name val="Geneva"/>
      <family val="0"/>
    </font>
    <font>
      <u val="single"/>
      <sz val="7.5"/>
      <color indexed="12"/>
      <name val="Geneva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>
      <alignment horizontal="centerContinuous"/>
      <protection/>
    </xf>
    <xf numFmtId="40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68" fontId="1" fillId="0" borderId="0" applyFont="0" applyFill="0" applyBorder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9" fontId="6" fillId="0" borderId="0" applyNumberFormat="0">
      <alignment horizontal="centerContinuous"/>
      <protection/>
    </xf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4" xfId="64" applyFont="1" applyFill="1" applyBorder="1" applyAlignment="1">
      <alignment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11" fillId="0" borderId="16" xfId="64" applyFont="1" applyFill="1" applyBorder="1" applyAlignment="1">
      <alignment horizontal="left" wrapText="1"/>
      <protection/>
    </xf>
    <xf numFmtId="0" fontId="7" fillId="0" borderId="17" xfId="64" applyFont="1" applyFill="1" applyBorder="1" applyAlignment="1">
      <alignment wrapText="1"/>
      <protection/>
    </xf>
    <xf numFmtId="0" fontId="11" fillId="0" borderId="18" xfId="64" applyFont="1" applyFill="1" applyBorder="1" applyAlignment="1">
      <alignment wrapText="1"/>
      <protection/>
    </xf>
    <xf numFmtId="0" fontId="11" fillId="0" borderId="19" xfId="64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20" xfId="64" applyFont="1" applyFill="1" applyBorder="1" applyAlignment="1">
      <alignment horizontal="center" vertical="center" wrapText="1"/>
      <protection/>
    </xf>
    <xf numFmtId="0" fontId="11" fillId="0" borderId="21" xfId="64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7" fillId="0" borderId="19" xfId="64" applyNumberFormat="1" applyFont="1" applyFill="1" applyBorder="1">
      <alignment/>
      <protection/>
    </xf>
    <xf numFmtId="3" fontId="7" fillId="0" borderId="19" xfId="0" applyNumberFormat="1" applyFont="1" applyFill="1" applyBorder="1" applyAlignment="1">
      <alignment wrapText="1"/>
    </xf>
    <xf numFmtId="3" fontId="7" fillId="0" borderId="21" xfId="0" applyNumberFormat="1" applyFont="1" applyFill="1" applyBorder="1" applyAlignment="1">
      <alignment wrapText="1"/>
    </xf>
    <xf numFmtId="0" fontId="7" fillId="0" borderId="22" xfId="64" applyFont="1" applyFill="1" applyBorder="1">
      <alignment/>
      <protection/>
    </xf>
    <xf numFmtId="0" fontId="7" fillId="0" borderId="0" xfId="0" applyFont="1" applyFill="1" applyBorder="1" applyAlignment="1">
      <alignment/>
    </xf>
    <xf numFmtId="3" fontId="7" fillId="0" borderId="0" xfId="64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 wrapText="1"/>
    </xf>
    <xf numFmtId="0" fontId="7" fillId="0" borderId="0" xfId="64" applyFont="1" applyFill="1" applyBorder="1">
      <alignment/>
      <protection/>
    </xf>
    <xf numFmtId="3" fontId="7" fillId="0" borderId="23" xfId="64" applyNumberFormat="1" applyFont="1" applyFill="1" applyBorder="1">
      <alignment/>
      <protection/>
    </xf>
    <xf numFmtId="3" fontId="7" fillId="0" borderId="24" xfId="0" applyNumberFormat="1" applyFont="1" applyFill="1" applyBorder="1" applyAlignment="1">
      <alignment wrapText="1"/>
    </xf>
    <xf numFmtId="3" fontId="7" fillId="0" borderId="24" xfId="64" applyNumberFormat="1" applyFont="1" applyFill="1" applyBorder="1">
      <alignment/>
      <protection/>
    </xf>
    <xf numFmtId="3" fontId="7" fillId="0" borderId="23" xfId="0" applyNumberFormat="1" applyFont="1" applyFill="1" applyBorder="1" applyAlignment="1">
      <alignment wrapText="1"/>
    </xf>
    <xf numFmtId="3" fontId="7" fillId="0" borderId="25" xfId="0" applyNumberFormat="1" applyFont="1" applyFill="1" applyBorder="1" applyAlignment="1">
      <alignment wrapText="1"/>
    </xf>
    <xf numFmtId="3" fontId="11" fillId="0" borderId="19" xfId="64" applyNumberFormat="1" applyFont="1" applyFill="1" applyBorder="1">
      <alignment/>
      <protection/>
    </xf>
    <xf numFmtId="3" fontId="11" fillId="0" borderId="21" xfId="64" applyNumberFormat="1" applyFont="1" applyFill="1" applyBorder="1">
      <alignment/>
      <protection/>
    </xf>
    <xf numFmtId="0" fontId="12" fillId="0" borderId="26" xfId="0" applyFont="1" applyFill="1" applyBorder="1" applyAlignment="1">
      <alignment/>
    </xf>
    <xf numFmtId="3" fontId="7" fillId="0" borderId="21" xfId="64" applyNumberFormat="1" applyFont="1" applyFill="1" applyBorder="1">
      <alignment/>
      <protection/>
    </xf>
    <xf numFmtId="0" fontId="7" fillId="0" borderId="26" xfId="64" applyFont="1" applyFill="1" applyBorder="1">
      <alignment/>
      <protection/>
    </xf>
    <xf numFmtId="3" fontId="7" fillId="0" borderId="20" xfId="64" applyNumberFormat="1" applyFont="1" applyFill="1" applyBorder="1">
      <alignment/>
      <protection/>
    </xf>
    <xf numFmtId="0" fontId="7" fillId="0" borderId="2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20" xfId="0" applyNumberFormat="1" applyFont="1" applyFill="1" applyBorder="1" applyAlignment="1">
      <alignment wrapText="1"/>
    </xf>
    <xf numFmtId="0" fontId="7" fillId="0" borderId="12" xfId="64" applyFont="1" applyFill="1" applyBorder="1">
      <alignment/>
      <protection/>
    </xf>
    <xf numFmtId="3" fontId="7" fillId="0" borderId="0" xfId="0" applyNumberFormat="1" applyFont="1" applyFill="1" applyAlignment="1">
      <alignment/>
    </xf>
    <xf numFmtId="3" fontId="11" fillId="0" borderId="20" xfId="0" applyNumberFormat="1" applyFont="1" applyFill="1" applyBorder="1" applyAlignment="1">
      <alignment/>
    </xf>
    <xf numFmtId="3" fontId="11" fillId="0" borderId="27" xfId="64" applyNumberFormat="1" applyFont="1" applyFill="1" applyBorder="1">
      <alignment/>
      <protection/>
    </xf>
    <xf numFmtId="0" fontId="7" fillId="0" borderId="2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11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4" fontId="9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9" fillId="0" borderId="29" xfId="64" applyNumberFormat="1" applyFont="1" applyFill="1" applyBorder="1">
      <alignment/>
      <protection/>
    </xf>
    <xf numFmtId="0" fontId="7" fillId="0" borderId="32" xfId="64" applyFont="1" applyFill="1" applyBorder="1" applyAlignment="1">
      <alignment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0" fontId="7" fillId="0" borderId="2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7" fillId="0" borderId="33" xfId="64" applyFont="1" applyFill="1" applyBorder="1" applyAlignment="1">
      <alignment horizontal="center" vertical="center" wrapText="1"/>
      <protection/>
    </xf>
    <xf numFmtId="0" fontId="12" fillId="0" borderId="22" xfId="0" applyFont="1" applyFill="1" applyBorder="1" applyAlignment="1">
      <alignment/>
    </xf>
    <xf numFmtId="0" fontId="7" fillId="0" borderId="34" xfId="64" applyFont="1" applyFill="1" applyBorder="1">
      <alignment/>
      <protection/>
    </xf>
    <xf numFmtId="3" fontId="11" fillId="0" borderId="0" xfId="64" applyNumberFormat="1" applyFont="1" applyFill="1" applyBorder="1">
      <alignment/>
      <protection/>
    </xf>
    <xf numFmtId="0" fontId="7" fillId="0" borderId="11" xfId="0" applyFont="1" applyFill="1" applyBorder="1" applyAlignment="1">
      <alignment/>
    </xf>
    <xf numFmtId="3" fontId="11" fillId="0" borderId="11" xfId="64" applyNumberFormat="1" applyFont="1" applyFill="1" applyBorder="1">
      <alignment/>
      <protection/>
    </xf>
    <xf numFmtId="3" fontId="11" fillId="0" borderId="35" xfId="64" applyNumberFormat="1" applyFont="1" applyFill="1" applyBorder="1">
      <alignment/>
      <protection/>
    </xf>
    <xf numFmtId="3" fontId="11" fillId="0" borderId="36" xfId="64" applyNumberFormat="1" applyFont="1" applyFill="1" applyBorder="1">
      <alignment/>
      <protection/>
    </xf>
    <xf numFmtId="3" fontId="7" fillId="0" borderId="12" xfId="64" applyNumberFormat="1" applyFont="1" applyFill="1" applyBorder="1">
      <alignment/>
      <protection/>
    </xf>
    <xf numFmtId="3" fontId="7" fillId="0" borderId="37" xfId="64" applyNumberFormat="1" applyFont="1" applyFill="1" applyBorder="1">
      <alignment/>
      <protection/>
    </xf>
    <xf numFmtId="3" fontId="11" fillId="0" borderId="12" xfId="64" applyNumberFormat="1" applyFont="1" applyFill="1" applyBorder="1">
      <alignment/>
      <protection/>
    </xf>
    <xf numFmtId="0" fontId="7" fillId="0" borderId="18" xfId="64" applyFont="1" applyFill="1" applyBorder="1" applyAlignment="1">
      <alignment wrapText="1"/>
      <protection/>
    </xf>
    <xf numFmtId="0" fontId="7" fillId="0" borderId="13" xfId="64" applyFont="1" applyFill="1" applyBorder="1" applyAlignment="1">
      <alignment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33" borderId="19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6" xfId="64" applyFont="1" applyFill="1" applyBorder="1">
      <alignment/>
      <protection/>
    </xf>
    <xf numFmtId="0" fontId="7" fillId="34" borderId="19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6" borderId="22" xfId="0" applyFont="1" applyFill="1" applyBorder="1" applyAlignment="1">
      <alignment/>
    </xf>
    <xf numFmtId="0" fontId="7" fillId="35" borderId="22" xfId="64" applyFont="1" applyFill="1" applyBorder="1">
      <alignment/>
      <protection/>
    </xf>
    <xf numFmtId="3" fontId="0" fillId="0" borderId="0" xfId="0" applyNumberFormat="1" applyFont="1" applyAlignment="1">
      <alignment/>
    </xf>
    <xf numFmtId="0" fontId="7" fillId="35" borderId="26" xfId="0" applyFont="1" applyFill="1" applyBorder="1" applyAlignment="1">
      <alignment/>
    </xf>
    <xf numFmtId="0" fontId="7" fillId="35" borderId="26" xfId="64" applyFont="1" applyFill="1" applyBorder="1">
      <alignment/>
      <protection/>
    </xf>
    <xf numFmtId="0" fontId="7" fillId="0" borderId="0" xfId="0" applyFont="1" applyFill="1" applyAlignment="1">
      <alignment/>
    </xf>
    <xf numFmtId="0" fontId="7" fillId="33" borderId="26" xfId="0" applyFont="1" applyFill="1" applyBorder="1" applyAlignment="1">
      <alignment/>
    </xf>
    <xf numFmtId="0" fontId="7" fillId="33" borderId="22" xfId="64" applyFont="1" applyFill="1" applyBorder="1">
      <alignment/>
      <protection/>
    </xf>
    <xf numFmtId="0" fontId="7" fillId="0" borderId="38" xfId="64" applyFont="1" applyFill="1" applyBorder="1" applyAlignment="1">
      <alignment horizontal="center" wrapText="1"/>
      <protection/>
    </xf>
    <xf numFmtId="0" fontId="7" fillId="0" borderId="17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41" xfId="64" applyFont="1" applyFill="1" applyBorder="1" applyAlignment="1">
      <alignment horizontal="center" vertical="center" wrapText="1"/>
      <protection/>
    </xf>
    <xf numFmtId="0" fontId="10" fillId="0" borderId="4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0" fillId="0" borderId="42" xfId="0" applyNumberForma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umVoll" xfId="46"/>
    <cellStyle name="Dezimal_TI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rozent(0)" xfId="63"/>
    <cellStyle name="Standard_TI" xfId="64"/>
    <cellStyle name="Title" xfId="65"/>
    <cellStyle name="Total" xfId="66"/>
    <cellStyle name="Ueberschr1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OII\DATA\~Transparency%202000\a.%20Arbeitspapiere\Eigene%20AP\~~Sozialstation%201999\Bericht\Abschl&#252;sse%20gGmbH&#180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OII\DATA\~Transparency%202000\a.%20Arbeitspapiere\Eigene%20AP\~DRK%20gemeinn&#252;tzige%20GmbH's\1700%20Seniorenheime%20gGmbH\Bericht\Anlagen\Abschl&#252;sse%20gGmbH&#180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OII\DATA\~Transparency%202000\a.%20Arbeitspapiere\Eigene%20AP\bdo\mandant\1999\Lazarus\Bericht\BERICHTL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OII\DATA\~Transparency%202000\a.%20Arbeitspapiere\Eigene%20AP\bdo\mandant\1999\Kempinski\Bericht\KAG\P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Bilanz1500"/>
      <sheetName val="GuV1500"/>
      <sheetName val="Bilanz1600"/>
      <sheetName val="GuV1600"/>
      <sheetName val="Bilanz1700"/>
      <sheetName val="GuV1700"/>
      <sheetName val="Anlagever"/>
      <sheetName val="5-Jahres-Vergleich"/>
      <sheetName val="Ertrag"/>
      <sheetName val="Finanzergebnis"/>
      <sheetName val="Sondereinfluesse"/>
      <sheetName val="Ergebnis steuerlicher Maßnahmen"/>
      <sheetName val="Vermögen-Kapital"/>
      <sheetName val="Vermögen"/>
      <sheetName val="Kapital"/>
      <sheetName val="Kapitalfluß"/>
      <sheetName val="Gewinnverwendung"/>
      <sheetName val="Mitarbeiter"/>
      <sheetName val="Eigenkapital (Zusammensetzung )"/>
      <sheetName val="Zweispälter (TDM)"/>
      <sheetName val="Einspälter (TDM)"/>
      <sheetName val="Zweispälter (DM)"/>
      <sheetName val="Einspälter (DM)"/>
      <sheetName val="Fünfspälter (TDM)"/>
      <sheetName val="Fünfspälter (DM)"/>
    </sheetNames>
    <sheetDataSet>
      <sheetData sheetId="0">
        <row r="1">
          <cell r="C1">
            <v>36525</v>
          </cell>
        </row>
        <row r="5">
          <cell r="C5" t="str">
            <v>Vorjahr</v>
          </cell>
        </row>
        <row r="10">
          <cell r="C10" t="str">
            <v>DM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Bilanz1500"/>
      <sheetName val="GuV1500"/>
      <sheetName val="Bilanz1600"/>
      <sheetName val="GuV1600"/>
      <sheetName val="Bilanz1700"/>
      <sheetName val="GuV1700"/>
      <sheetName val="Anlagever"/>
      <sheetName val="5-Jahres-Vergleich"/>
      <sheetName val="Ertrag"/>
      <sheetName val="Finanzergebnis"/>
      <sheetName val="Sondereinfluesse"/>
      <sheetName val="Ergebnis steuerlicher Maßnahmen"/>
      <sheetName val="Vermögen-Kapital"/>
      <sheetName val="Vermögen"/>
      <sheetName val="Kapital"/>
      <sheetName val="Kapitalfluß"/>
      <sheetName val="Gewinnverwendung"/>
      <sheetName val="Mitarbeiter"/>
      <sheetName val="Eigenkapital (Zusammensetzung )"/>
      <sheetName val="Zweispälter (TDM)"/>
      <sheetName val="Einspälter (TDM)"/>
      <sheetName val="Zweispälter (DM)"/>
      <sheetName val="Einspälter (DM)"/>
      <sheetName val="Fünfspälter (TDM)"/>
      <sheetName val="Fünfspälter (DM)"/>
    </sheetNames>
    <sheetDataSet>
      <sheetData sheetId="0">
        <row r="1">
          <cell r="C1">
            <v>36525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Betriebsergebnis"/>
      <sheetName val="Investergebnis"/>
      <sheetName val="Finanzergeb"/>
      <sheetName val="neutrales ergeb"/>
      <sheetName val="Jahresergebnis"/>
      <sheetName val="Bilanz Stiftung"/>
      <sheetName val="EK Stiftung"/>
      <sheetName val="Mitarbeiter"/>
      <sheetName val="Eigenkapital (Zusammensetzung )"/>
      <sheetName val="Zweispälter Bilanz (TDM)"/>
      <sheetName val="Zweispälter GuV (TDM)"/>
      <sheetName val="Einspälter (TDM)"/>
      <sheetName val="Zweispälter Bilanz (DM)"/>
      <sheetName val="Zweispälter GuV (DM)"/>
      <sheetName val="Einspälter (DM)"/>
      <sheetName val="Fünfspälter (TDM)"/>
      <sheetName val="Fünfspälter (DM)"/>
    </sheetNames>
    <sheetDataSet>
      <sheetData sheetId="0">
        <row r="3">
          <cell r="C3">
            <v>1999</v>
          </cell>
        </row>
        <row r="11">
          <cell r="C11" t="str">
            <v>TDM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EK"/>
      <sheetName val="Grundkap"/>
      <sheetName val="Bilanzgew."/>
      <sheetName val="Pensionen"/>
      <sheetName val="Steuerück"/>
      <sheetName val="Sonst.Rück-Entw"/>
      <sheetName val="Verb.g.Kreditinst."/>
      <sheetName val="verb. Untern"/>
      <sheetName val="Zus-Adlon"/>
      <sheetName val="Zus-Congress"/>
      <sheetName val="Zus-sonst. Verb"/>
      <sheetName val="Zub)"/>
      <sheetName val="Zu c)"/>
    </sheetNames>
    <sheetDataSet>
      <sheetData sheetId="0">
        <row r="2">
          <cell r="C2">
            <v>36161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I91" sqref="I91"/>
    </sheetView>
  </sheetViews>
  <sheetFormatPr defaultColWidth="11.421875" defaultRowHeight="12.75"/>
  <cols>
    <col min="1" max="1" width="41.421875" style="3" customWidth="1"/>
    <col min="2" max="2" width="3.140625" style="3" hidden="1" customWidth="1"/>
    <col min="3" max="3" width="11.28125" style="3" hidden="1" customWidth="1"/>
    <col min="4" max="4" width="11.140625" style="3" hidden="1" customWidth="1"/>
    <col min="5" max="5" width="9.140625" style="3" customWidth="1"/>
    <col min="6" max="8" width="10.7109375" style="3" hidden="1" customWidth="1"/>
    <col min="9" max="9" width="6.28125" style="3" customWidth="1"/>
    <col min="10" max="16384" width="11.421875" style="3" customWidth="1"/>
  </cols>
  <sheetData>
    <row r="1" spans="1:8" ht="4.5" customHeight="1" thickBot="1">
      <c r="A1" s="1"/>
      <c r="B1" s="2"/>
      <c r="C1" s="2"/>
      <c r="D1" s="2"/>
      <c r="E1" s="2"/>
      <c r="F1" s="2"/>
      <c r="G1" s="2"/>
      <c r="H1" s="2"/>
    </row>
    <row r="2" spans="1:9" s="10" customFormat="1" ht="30" customHeight="1" thickTop="1">
      <c r="A2" s="11" t="s">
        <v>153</v>
      </c>
      <c r="B2" s="12"/>
      <c r="C2" s="101" t="s">
        <v>85</v>
      </c>
      <c r="D2" s="102"/>
      <c r="E2" s="103"/>
      <c r="F2" s="101" t="s">
        <v>84</v>
      </c>
      <c r="G2" s="102"/>
      <c r="H2" s="102"/>
      <c r="I2" s="41"/>
    </row>
    <row r="3" spans="1:8" s="10" customFormat="1" ht="33.75">
      <c r="A3" s="85"/>
      <c r="B3" s="7"/>
      <c r="C3" s="8" t="s">
        <v>0</v>
      </c>
      <c r="D3" s="9" t="s">
        <v>83</v>
      </c>
      <c r="E3" s="104" t="s">
        <v>1</v>
      </c>
      <c r="F3" s="105"/>
      <c r="G3" s="105"/>
      <c r="H3" s="106"/>
    </row>
    <row r="4" spans="1:8" s="10" customFormat="1" ht="11.25">
      <c r="A4" s="84"/>
      <c r="B4" s="68"/>
      <c r="C4" s="69"/>
      <c r="D4" s="70"/>
      <c r="E4" s="71"/>
      <c r="F4" s="72"/>
      <c r="G4" s="72"/>
      <c r="H4" s="73"/>
    </row>
    <row r="5" spans="1:8" s="18" customFormat="1" ht="11.25">
      <c r="A5" s="74" t="s">
        <v>27</v>
      </c>
      <c r="B5" s="13"/>
      <c r="C5" s="14"/>
      <c r="D5" s="15"/>
      <c r="E5" s="16"/>
      <c r="F5" s="14"/>
      <c r="G5" s="15"/>
      <c r="H5" s="17"/>
    </row>
    <row r="6" spans="1:8" s="10" customFormat="1" ht="11.25">
      <c r="A6" s="88" t="s">
        <v>34</v>
      </c>
      <c r="B6" s="20" t="s">
        <v>26</v>
      </c>
      <c r="C6" s="21">
        <v>883021.9</v>
      </c>
      <c r="D6" s="22">
        <v>45304.27</v>
      </c>
      <c r="E6" s="22">
        <f aca="true" t="shared" si="0" ref="E6:E27">C6+D6</f>
        <v>928326.17</v>
      </c>
      <c r="F6" s="21">
        <v>412423.93</v>
      </c>
      <c r="G6" s="22">
        <v>-38796.06</v>
      </c>
      <c r="H6" s="23">
        <f aca="true" t="shared" si="1" ref="H6:H27">F6+G6</f>
        <v>373627.87</v>
      </c>
    </row>
    <row r="7" spans="1:8" s="10" customFormat="1" ht="11.25">
      <c r="A7" s="42" t="s">
        <v>2</v>
      </c>
      <c r="B7" s="20" t="s">
        <v>26</v>
      </c>
      <c r="C7" s="21">
        <v>486285.03</v>
      </c>
      <c r="D7" s="22">
        <v>414242.38</v>
      </c>
      <c r="E7" s="22">
        <f t="shared" si="0"/>
        <v>900527.41</v>
      </c>
      <c r="F7" s="21">
        <v>1019244.9</v>
      </c>
      <c r="G7" s="22">
        <v>-428070.57</v>
      </c>
      <c r="H7" s="23">
        <f t="shared" si="1"/>
        <v>591174.3300000001</v>
      </c>
    </row>
    <row r="8" spans="1:8" s="10" customFormat="1" ht="11.25">
      <c r="A8" s="91" t="s">
        <v>81</v>
      </c>
      <c r="B8" s="20" t="s">
        <v>26</v>
      </c>
      <c r="C8" s="21">
        <v>400902.75</v>
      </c>
      <c r="D8" s="22">
        <v>472558.74</v>
      </c>
      <c r="E8" s="22">
        <f t="shared" si="0"/>
        <v>873461.49</v>
      </c>
      <c r="F8" s="21">
        <v>531909.84</v>
      </c>
      <c r="G8" s="22">
        <v>-55514.3</v>
      </c>
      <c r="H8" s="23">
        <f t="shared" si="1"/>
        <v>476395.54</v>
      </c>
    </row>
    <row r="9" spans="1:8" s="10" customFormat="1" ht="11.25">
      <c r="A9" s="93" t="s">
        <v>6</v>
      </c>
      <c r="B9" s="20" t="s">
        <v>26</v>
      </c>
      <c r="C9" s="21">
        <v>750000</v>
      </c>
      <c r="D9" s="22"/>
      <c r="E9" s="22">
        <f t="shared" si="0"/>
        <v>750000</v>
      </c>
      <c r="F9" s="21">
        <v>750000</v>
      </c>
      <c r="G9" s="22"/>
      <c r="H9" s="23">
        <f t="shared" si="1"/>
        <v>750000</v>
      </c>
    </row>
    <row r="10" spans="1:8" s="10" customFormat="1" ht="11.25">
      <c r="A10" s="92" t="s">
        <v>139</v>
      </c>
      <c r="B10" s="20" t="s">
        <v>26</v>
      </c>
      <c r="C10" s="21">
        <v>367918</v>
      </c>
      <c r="D10" s="22"/>
      <c r="E10" s="22">
        <f>C10+D10</f>
        <v>367918</v>
      </c>
      <c r="F10" s="21">
        <v>449014.23</v>
      </c>
      <c r="G10" s="22">
        <v>122086.48</v>
      </c>
      <c r="H10" s="23"/>
    </row>
    <row r="11" spans="1:8" s="10" customFormat="1" ht="11.25">
      <c r="A11" s="92" t="s">
        <v>140</v>
      </c>
      <c r="B11" s="20" t="s">
        <v>26</v>
      </c>
      <c r="C11" s="21">
        <f>681515.75-367918</f>
        <v>313597.75</v>
      </c>
      <c r="D11" s="22">
        <v>-3400</v>
      </c>
      <c r="E11" s="22">
        <f>C11+D11</f>
        <v>310197.75</v>
      </c>
      <c r="F11" s="21">
        <v>449014.23</v>
      </c>
      <c r="G11" s="22">
        <v>122086.48</v>
      </c>
      <c r="H11" s="23">
        <f>F11+G11</f>
        <v>571100.71</v>
      </c>
    </row>
    <row r="12" spans="1:8" s="10" customFormat="1" ht="11.25">
      <c r="A12" s="92" t="s">
        <v>14</v>
      </c>
      <c r="B12" s="20" t="s">
        <v>26</v>
      </c>
      <c r="C12" s="21">
        <f>290184.85+293221.91</f>
        <v>583406.76</v>
      </c>
      <c r="D12" s="22">
        <v>-61433.36</v>
      </c>
      <c r="E12" s="22">
        <f t="shared" si="0"/>
        <v>521973.4</v>
      </c>
      <c r="F12" s="21">
        <f>190293.81+233688.58</f>
        <v>423982.39</v>
      </c>
      <c r="G12" s="22">
        <v>-61625.08</v>
      </c>
      <c r="H12" s="23">
        <f t="shared" si="1"/>
        <v>362357.31</v>
      </c>
    </row>
    <row r="13" spans="1:8" s="10" customFormat="1" ht="11.25">
      <c r="A13" s="94" t="s">
        <v>5</v>
      </c>
      <c r="B13" s="20" t="s">
        <v>26</v>
      </c>
      <c r="C13" s="21">
        <v>482815.41</v>
      </c>
      <c r="D13" s="22">
        <v>32379.13</v>
      </c>
      <c r="E13" s="22">
        <f t="shared" si="0"/>
        <v>515194.54</v>
      </c>
      <c r="F13" s="21">
        <v>561892.25</v>
      </c>
      <c r="G13" s="22">
        <v>-21173.12</v>
      </c>
      <c r="H13" s="23">
        <f t="shared" si="1"/>
        <v>540719.13</v>
      </c>
    </row>
    <row r="14" spans="1:8" s="10" customFormat="1" ht="11.25">
      <c r="A14" s="19" t="s">
        <v>12</v>
      </c>
      <c r="B14" s="20" t="s">
        <v>26</v>
      </c>
      <c r="C14" s="21">
        <v>386062.34</v>
      </c>
      <c r="D14" s="22">
        <v>-49566.83</v>
      </c>
      <c r="E14" s="22">
        <f t="shared" si="0"/>
        <v>336495.51</v>
      </c>
      <c r="F14" s="21">
        <v>297685.92</v>
      </c>
      <c r="G14" s="22">
        <v>-64691.92</v>
      </c>
      <c r="H14" s="23">
        <f t="shared" si="1"/>
        <v>232994</v>
      </c>
    </row>
    <row r="15" spans="1:8" s="10" customFormat="1" ht="11.25">
      <c r="A15" s="94" t="s">
        <v>9</v>
      </c>
      <c r="B15" s="20" t="s">
        <v>26</v>
      </c>
      <c r="C15" s="21">
        <v>311472.71</v>
      </c>
      <c r="D15" s="22"/>
      <c r="E15" s="22">
        <f t="shared" si="0"/>
        <v>311472.71</v>
      </c>
      <c r="F15" s="21">
        <v>315896.72</v>
      </c>
      <c r="G15" s="22"/>
      <c r="H15" s="23">
        <f t="shared" si="1"/>
        <v>315896.72</v>
      </c>
    </row>
    <row r="16" spans="1:8" s="10" customFormat="1" ht="11.25">
      <c r="A16" s="94" t="s">
        <v>4</v>
      </c>
      <c r="B16" s="20" t="s">
        <v>26</v>
      </c>
      <c r="C16" s="21">
        <v>247335.6</v>
      </c>
      <c r="D16" s="22"/>
      <c r="E16" s="22">
        <f t="shared" si="0"/>
        <v>247335.6</v>
      </c>
      <c r="F16" s="21">
        <v>269074.42</v>
      </c>
      <c r="G16" s="22"/>
      <c r="H16" s="23">
        <f t="shared" si="1"/>
        <v>269074.42</v>
      </c>
    </row>
    <row r="17" spans="1:8" s="10" customFormat="1" ht="11.25">
      <c r="A17" s="24" t="s">
        <v>10</v>
      </c>
      <c r="B17" s="20" t="s">
        <v>26</v>
      </c>
      <c r="C17" s="21">
        <v>244138.51</v>
      </c>
      <c r="D17" s="22">
        <v>-1000</v>
      </c>
      <c r="E17" s="22">
        <f t="shared" si="0"/>
        <v>243138.51</v>
      </c>
      <c r="F17" s="21">
        <v>340523.59</v>
      </c>
      <c r="G17" s="22">
        <v>-9100</v>
      </c>
      <c r="H17" s="23">
        <f t="shared" si="1"/>
        <v>331423.59</v>
      </c>
    </row>
    <row r="18" spans="1:8" s="10" customFormat="1" ht="11.25">
      <c r="A18" s="19" t="s">
        <v>50</v>
      </c>
      <c r="B18" s="20"/>
      <c r="C18" s="21">
        <v>236349.17</v>
      </c>
      <c r="D18" s="22"/>
      <c r="E18" s="22">
        <f t="shared" si="0"/>
        <v>236349.17</v>
      </c>
      <c r="F18" s="21">
        <v>105281.31</v>
      </c>
      <c r="G18" s="22"/>
      <c r="H18" s="23">
        <f t="shared" si="1"/>
        <v>105281.31</v>
      </c>
    </row>
    <row r="19" spans="1:8" s="10" customFormat="1" ht="11.25">
      <c r="A19" s="19" t="s">
        <v>141</v>
      </c>
      <c r="B19" s="20" t="s">
        <v>26</v>
      </c>
      <c r="C19" s="21">
        <v>107485.48</v>
      </c>
      <c r="D19" s="22">
        <v>15614.93</v>
      </c>
      <c r="E19" s="22">
        <f t="shared" si="0"/>
        <v>123100.41</v>
      </c>
      <c r="F19" s="21">
        <v>150544.73</v>
      </c>
      <c r="G19" s="22">
        <v>-15918.67</v>
      </c>
      <c r="H19" s="23">
        <f t="shared" si="1"/>
        <v>134626.06</v>
      </c>
    </row>
    <row r="20" spans="1:8" s="10" customFormat="1" ht="11.25">
      <c r="A20" s="89" t="s">
        <v>48</v>
      </c>
      <c r="B20" s="20" t="s">
        <v>26</v>
      </c>
      <c r="C20" s="21">
        <v>418613.44</v>
      </c>
      <c r="D20" s="22">
        <v>-308196</v>
      </c>
      <c r="E20" s="22">
        <f t="shared" si="0"/>
        <v>110417.44</v>
      </c>
      <c r="F20" s="21">
        <v>67956.7</v>
      </c>
      <c r="G20" s="22">
        <v>122650.38</v>
      </c>
      <c r="H20" s="23">
        <f t="shared" si="1"/>
        <v>190607.08000000002</v>
      </c>
    </row>
    <row r="21" spans="1:8" s="10" customFormat="1" ht="11.25">
      <c r="A21" s="92" t="s">
        <v>51</v>
      </c>
      <c r="B21" s="20"/>
      <c r="C21" s="21">
        <v>216410.48</v>
      </c>
      <c r="D21" s="22">
        <v>-106537.27</v>
      </c>
      <c r="E21" s="22">
        <f t="shared" si="0"/>
        <v>109873.21</v>
      </c>
      <c r="F21" s="21">
        <v>273556.4</v>
      </c>
      <c r="G21" s="22">
        <v>-1639.18</v>
      </c>
      <c r="H21" s="23">
        <f t="shared" si="1"/>
        <v>271917.22000000003</v>
      </c>
    </row>
    <row r="22" spans="1:8" s="10" customFormat="1" ht="11.25">
      <c r="A22" s="92" t="s">
        <v>63</v>
      </c>
      <c r="B22" s="25" t="s">
        <v>26</v>
      </c>
      <c r="C22" s="21">
        <v>7212.95</v>
      </c>
      <c r="D22" s="22">
        <v>23512.58</v>
      </c>
      <c r="E22" s="22">
        <f t="shared" si="0"/>
        <v>30725.530000000002</v>
      </c>
      <c r="F22" s="21">
        <v>31295.48</v>
      </c>
      <c r="G22" s="22">
        <v>-23512.58</v>
      </c>
      <c r="H22" s="23">
        <f t="shared" si="1"/>
        <v>7782.899999999998</v>
      </c>
    </row>
    <row r="23" spans="1:8" s="10" customFormat="1" ht="11.25">
      <c r="A23" s="24" t="s">
        <v>86</v>
      </c>
      <c r="B23" s="28" t="s">
        <v>26</v>
      </c>
      <c r="C23" s="21">
        <v>18704.38</v>
      </c>
      <c r="D23" s="22">
        <v>-997.78</v>
      </c>
      <c r="E23" s="22">
        <f t="shared" si="0"/>
        <v>17706.600000000002</v>
      </c>
      <c r="F23" s="21"/>
      <c r="G23" s="22"/>
      <c r="H23" s="23">
        <f t="shared" si="1"/>
        <v>0</v>
      </c>
    </row>
    <row r="24" spans="1:8" s="10" customFormat="1" ht="11.25">
      <c r="A24" s="19" t="s">
        <v>87</v>
      </c>
      <c r="B24" s="25"/>
      <c r="C24" s="81">
        <v>6124.81</v>
      </c>
      <c r="D24" s="22"/>
      <c r="E24" s="22">
        <f t="shared" si="0"/>
        <v>6124.81</v>
      </c>
      <c r="F24" s="21"/>
      <c r="G24" s="27"/>
      <c r="H24" s="23">
        <f t="shared" si="1"/>
        <v>0</v>
      </c>
    </row>
    <row r="25" spans="1:8" s="10" customFormat="1" ht="11.25">
      <c r="A25" s="19" t="s">
        <v>90</v>
      </c>
      <c r="B25" s="25"/>
      <c r="C25" s="82">
        <v>36688.88</v>
      </c>
      <c r="D25" s="22">
        <v>-32490</v>
      </c>
      <c r="E25" s="22">
        <f t="shared" si="0"/>
        <v>4198.879999999997</v>
      </c>
      <c r="F25" s="21"/>
      <c r="G25" s="27"/>
      <c r="H25" s="23">
        <f t="shared" si="1"/>
        <v>0</v>
      </c>
    </row>
    <row r="26" spans="1:8" s="10" customFormat="1" ht="11.25" hidden="1">
      <c r="A26" s="24" t="s">
        <v>3</v>
      </c>
      <c r="B26" s="25" t="s">
        <v>26</v>
      </c>
      <c r="C26" s="26"/>
      <c r="D26" s="22">
        <v>7409.85</v>
      </c>
      <c r="E26" s="22">
        <f t="shared" si="0"/>
        <v>7409.85</v>
      </c>
      <c r="F26" s="26">
        <f>12940.13+34738.2</f>
        <v>47678.329999999994</v>
      </c>
      <c r="G26" s="22">
        <v>69163.17</v>
      </c>
      <c r="H26" s="23">
        <f t="shared" si="1"/>
        <v>116841.5</v>
      </c>
    </row>
    <row r="27" spans="1:8" s="10" customFormat="1" ht="11.25" hidden="1">
      <c r="A27" s="19" t="s">
        <v>15</v>
      </c>
      <c r="B27" s="25" t="s">
        <v>26</v>
      </c>
      <c r="C27" s="29"/>
      <c r="D27" s="30"/>
      <c r="E27" s="30">
        <f t="shared" si="0"/>
        <v>0</v>
      </c>
      <c r="F27" s="31"/>
      <c r="G27" s="32">
        <v>7566.21</v>
      </c>
      <c r="H27" s="33">
        <f t="shared" si="1"/>
        <v>7566.21</v>
      </c>
    </row>
    <row r="28" spans="1:8" s="10" customFormat="1" ht="11.25">
      <c r="A28" s="19"/>
      <c r="B28" s="25"/>
      <c r="C28" s="34">
        <f>SUM(C6:C27)</f>
        <v>6504546.350000001</v>
      </c>
      <c r="D28" s="34">
        <f>SUM(D6:D27)</f>
        <v>447400.6400000001</v>
      </c>
      <c r="E28" s="34">
        <f>SUM(E6:E27)</f>
        <v>6951946.989999999</v>
      </c>
      <c r="F28" s="34">
        <f>SUM(F6:F23)</f>
        <v>6449297.04</v>
      </c>
      <c r="G28" s="34">
        <f>SUM(G6:G23)</f>
        <v>-353218.14</v>
      </c>
      <c r="H28" s="35">
        <f>SUM(H6:H27)</f>
        <v>5649385.899999999</v>
      </c>
    </row>
    <row r="29" spans="1:8" s="10" customFormat="1" ht="11.25">
      <c r="A29" s="40"/>
      <c r="B29" s="25"/>
      <c r="C29" s="34"/>
      <c r="D29" s="34"/>
      <c r="E29" s="34"/>
      <c r="F29" s="34"/>
      <c r="G29" s="34"/>
      <c r="H29" s="35"/>
    </row>
    <row r="30" spans="1:8" s="10" customFormat="1" ht="11.25">
      <c r="A30" s="36" t="s">
        <v>28</v>
      </c>
      <c r="B30" s="25"/>
      <c r="C30" s="21"/>
      <c r="D30" s="21"/>
      <c r="E30" s="21"/>
      <c r="F30" s="21"/>
      <c r="G30" s="21"/>
      <c r="H30" s="37"/>
    </row>
    <row r="31" spans="1:10" s="10" customFormat="1" ht="11.25">
      <c r="A31" s="94" t="s">
        <v>13</v>
      </c>
      <c r="B31" s="28" t="s">
        <v>30</v>
      </c>
      <c r="C31" s="21">
        <v>260786.87</v>
      </c>
      <c r="D31" s="22">
        <v>-100390.14</v>
      </c>
      <c r="E31" s="22">
        <f aca="true" t="shared" si="2" ref="E31:E38">C31+D31</f>
        <v>160396.72999999998</v>
      </c>
      <c r="F31" s="21">
        <v>160036.61</v>
      </c>
      <c r="G31" s="22">
        <v>-39358.86</v>
      </c>
      <c r="H31" s="23">
        <f aca="true" t="shared" si="3" ref="H31:H38">F31+G31</f>
        <v>120677.74999999999</v>
      </c>
      <c r="J31" s="25"/>
    </row>
    <row r="32" spans="1:8" s="10" customFormat="1" ht="11.25">
      <c r="A32" s="92" t="s">
        <v>8</v>
      </c>
      <c r="B32" s="25" t="s">
        <v>30</v>
      </c>
      <c r="C32" s="21">
        <v>86387.03</v>
      </c>
      <c r="D32" s="22">
        <v>31255.4</v>
      </c>
      <c r="E32" s="22">
        <f t="shared" si="2"/>
        <v>117642.43</v>
      </c>
      <c r="F32" s="21">
        <v>111357.79</v>
      </c>
      <c r="G32" s="22">
        <v>165.27</v>
      </c>
      <c r="H32" s="23">
        <f t="shared" si="3"/>
        <v>111523.06</v>
      </c>
    </row>
    <row r="33" spans="1:8" s="10" customFormat="1" ht="11.25">
      <c r="A33" s="38" t="s">
        <v>64</v>
      </c>
      <c r="B33" s="28"/>
      <c r="C33" s="21">
        <v>65122</v>
      </c>
      <c r="D33" s="22">
        <v>-9573.11</v>
      </c>
      <c r="E33" s="22">
        <f t="shared" si="2"/>
        <v>55548.89</v>
      </c>
      <c r="F33" s="21">
        <v>29488.5</v>
      </c>
      <c r="G33" s="22"/>
      <c r="H33" s="23">
        <f t="shared" si="3"/>
        <v>29488.5</v>
      </c>
    </row>
    <row r="34" spans="1:8" s="62" customFormat="1" ht="11.25">
      <c r="A34" s="40" t="s">
        <v>135</v>
      </c>
      <c r="B34" s="25" t="s">
        <v>33</v>
      </c>
      <c r="C34" s="21">
        <v>25211.11</v>
      </c>
      <c r="D34" s="22"/>
      <c r="E34" s="22">
        <f>C34+D34</f>
        <v>25211.11</v>
      </c>
      <c r="F34" s="21"/>
      <c r="G34" s="22"/>
      <c r="H34" s="23">
        <f>F34+G34</f>
        <v>0</v>
      </c>
    </row>
    <row r="35" spans="1:8" s="10" customFormat="1" ht="11.25">
      <c r="A35" s="24" t="s">
        <v>136</v>
      </c>
      <c r="B35" s="25"/>
      <c r="C35" s="31">
        <v>21890.24</v>
      </c>
      <c r="D35" s="22"/>
      <c r="E35" s="22">
        <f>C35+D35</f>
        <v>21890.24</v>
      </c>
      <c r="F35" s="21">
        <v>0</v>
      </c>
      <c r="G35" s="22"/>
      <c r="H35" s="23">
        <f>F35+G35</f>
        <v>0</v>
      </c>
    </row>
    <row r="36" spans="1:8" s="10" customFormat="1" ht="11.25" hidden="1">
      <c r="A36" s="38" t="s">
        <v>142</v>
      </c>
      <c r="B36" s="28"/>
      <c r="C36" s="21"/>
      <c r="D36" s="22"/>
      <c r="E36" s="22">
        <f t="shared" si="2"/>
        <v>0</v>
      </c>
      <c r="F36" s="21">
        <v>6000</v>
      </c>
      <c r="G36" s="22"/>
      <c r="H36" s="23">
        <f t="shared" si="3"/>
        <v>6000</v>
      </c>
    </row>
    <row r="37" spans="1:8" s="10" customFormat="1" ht="11.25" hidden="1">
      <c r="A37" s="38" t="s">
        <v>7</v>
      </c>
      <c r="B37" s="28" t="s">
        <v>30</v>
      </c>
      <c r="C37" s="21"/>
      <c r="D37" s="22"/>
      <c r="E37" s="22">
        <f t="shared" si="2"/>
        <v>0</v>
      </c>
      <c r="F37" s="21">
        <v>80772.84</v>
      </c>
      <c r="G37" s="22"/>
      <c r="H37" s="23">
        <f t="shared" si="3"/>
        <v>80772.84</v>
      </c>
    </row>
    <row r="38" spans="1:10" s="10" customFormat="1" ht="11.25" hidden="1">
      <c r="A38" s="38" t="s">
        <v>16</v>
      </c>
      <c r="B38" s="28" t="s">
        <v>30</v>
      </c>
      <c r="C38" s="31"/>
      <c r="D38" s="30"/>
      <c r="E38" s="30">
        <f t="shared" si="2"/>
        <v>0</v>
      </c>
      <c r="F38" s="31">
        <v>10128.37</v>
      </c>
      <c r="G38" s="30"/>
      <c r="H38" s="33">
        <f t="shared" si="3"/>
        <v>10128.37</v>
      </c>
      <c r="J38" s="25"/>
    </row>
    <row r="39" spans="1:8" s="10" customFormat="1" ht="11.25">
      <c r="A39" s="38"/>
      <c r="B39" s="28"/>
      <c r="C39" s="34">
        <f>SUM(C31:C38)</f>
        <v>459397.25</v>
      </c>
      <c r="D39" s="34">
        <f>SUM(D31:D38)</f>
        <v>-78707.84999999999</v>
      </c>
      <c r="E39" s="34">
        <f>SUM(E31:E38)</f>
        <v>380689.39999999997</v>
      </c>
      <c r="F39" s="34">
        <f>SUM(F31:F36)</f>
        <v>306882.89999999997</v>
      </c>
      <c r="G39" s="34">
        <f>SUM(G31:G36)</f>
        <v>-39193.590000000004</v>
      </c>
      <c r="H39" s="35">
        <f>SUM(H31:H38)</f>
        <v>358590.52</v>
      </c>
    </row>
    <row r="40" spans="1:8" s="10" customFormat="1" ht="11.25">
      <c r="A40" s="38"/>
      <c r="B40" s="28"/>
      <c r="C40" s="34"/>
      <c r="D40" s="34"/>
      <c r="E40" s="34"/>
      <c r="F40" s="34"/>
      <c r="G40" s="34"/>
      <c r="H40" s="35"/>
    </row>
    <row r="41" spans="1:8" s="10" customFormat="1" ht="11.25">
      <c r="A41" s="36" t="s">
        <v>152</v>
      </c>
      <c r="B41" s="41"/>
      <c r="C41" s="21"/>
      <c r="D41" s="22"/>
      <c r="E41" s="22"/>
      <c r="F41" s="21"/>
      <c r="G41" s="22"/>
      <c r="H41" s="23"/>
    </row>
    <row r="42" spans="1:8" s="10" customFormat="1" ht="11.25">
      <c r="A42" s="40" t="s">
        <v>18</v>
      </c>
      <c r="B42" s="42" t="s">
        <v>31</v>
      </c>
      <c r="C42" s="21">
        <v>130097.87</v>
      </c>
      <c r="D42" s="22">
        <v>-682.56</v>
      </c>
      <c r="E42" s="22">
        <f aca="true" t="shared" si="4" ref="E42:E59">C42+D42</f>
        <v>129415.31</v>
      </c>
      <c r="F42" s="21">
        <v>46194.2</v>
      </c>
      <c r="G42" s="22"/>
      <c r="H42" s="23">
        <f aca="true" t="shared" si="5" ref="H42:H59">F42+G42</f>
        <v>46194.2</v>
      </c>
    </row>
    <row r="43" spans="1:8" s="10" customFormat="1" ht="11.25">
      <c r="A43" s="92" t="s">
        <v>11</v>
      </c>
      <c r="B43" s="25" t="s">
        <v>31</v>
      </c>
      <c r="C43" s="21">
        <f>79621.77+26042.23+11.57</f>
        <v>105675.57</v>
      </c>
      <c r="D43" s="22">
        <v>194.94</v>
      </c>
      <c r="E43" s="22">
        <f t="shared" si="4"/>
        <v>105870.51000000001</v>
      </c>
      <c r="F43" s="21">
        <v>124234.37</v>
      </c>
      <c r="G43" s="22">
        <v>-194.94</v>
      </c>
      <c r="H43" s="23">
        <f t="shared" si="5"/>
        <v>124039.43</v>
      </c>
    </row>
    <row r="44" spans="1:8" s="10" customFormat="1" ht="11.25">
      <c r="A44" s="40" t="s">
        <v>88</v>
      </c>
      <c r="B44" s="42" t="s">
        <v>31</v>
      </c>
      <c r="C44" s="21">
        <v>78999.3</v>
      </c>
      <c r="D44" s="22"/>
      <c r="E44" s="22">
        <f t="shared" si="4"/>
        <v>78999.3</v>
      </c>
      <c r="F44" s="21"/>
      <c r="G44" s="22"/>
      <c r="H44" s="23">
        <f t="shared" si="5"/>
        <v>0</v>
      </c>
    </row>
    <row r="45" spans="1:8" s="10" customFormat="1" ht="11.25">
      <c r="A45" s="24" t="s">
        <v>20</v>
      </c>
      <c r="B45" s="28" t="s">
        <v>31</v>
      </c>
      <c r="C45" s="21">
        <v>21207.43</v>
      </c>
      <c r="D45" s="22"/>
      <c r="E45" s="22">
        <f t="shared" si="4"/>
        <v>21207.43</v>
      </c>
      <c r="F45" s="21">
        <v>29115.57</v>
      </c>
      <c r="G45" s="22"/>
      <c r="H45" s="23">
        <f t="shared" si="5"/>
        <v>29115.57</v>
      </c>
    </row>
    <row r="46" spans="1:8" s="10" customFormat="1" ht="11.25">
      <c r="A46" s="100" t="s">
        <v>89</v>
      </c>
      <c r="B46" s="28" t="s">
        <v>31</v>
      </c>
      <c r="C46" s="21">
        <v>34066.33</v>
      </c>
      <c r="D46" s="22"/>
      <c r="E46" s="22">
        <f t="shared" si="4"/>
        <v>34066.33</v>
      </c>
      <c r="F46" s="21"/>
      <c r="G46" s="22"/>
      <c r="H46" s="23">
        <f t="shared" si="5"/>
        <v>0</v>
      </c>
    </row>
    <row r="47" spans="1:8" s="10" customFormat="1" ht="11.25">
      <c r="A47" s="19" t="s">
        <v>66</v>
      </c>
      <c r="B47" s="25"/>
      <c r="C47" s="21">
        <v>10434.52</v>
      </c>
      <c r="D47" s="22"/>
      <c r="E47" s="22">
        <f t="shared" si="4"/>
        <v>10434.52</v>
      </c>
      <c r="F47" s="21">
        <f>1780+7256</f>
        <v>9036</v>
      </c>
      <c r="G47" s="22"/>
      <c r="H47" s="23">
        <f t="shared" si="5"/>
        <v>9036</v>
      </c>
    </row>
    <row r="48" spans="1:8" s="10" customFormat="1" ht="11.25">
      <c r="A48" s="19" t="s">
        <v>65</v>
      </c>
      <c r="B48" s="25"/>
      <c r="C48" s="21">
        <v>9491.56</v>
      </c>
      <c r="D48" s="22"/>
      <c r="E48" s="22">
        <f t="shared" si="4"/>
        <v>9491.56</v>
      </c>
      <c r="F48" s="21">
        <v>30000</v>
      </c>
      <c r="G48" s="22"/>
      <c r="H48" s="23">
        <f t="shared" si="5"/>
        <v>30000</v>
      </c>
    </row>
    <row r="49" spans="1:8" s="10" customFormat="1" ht="11.25">
      <c r="A49" s="24" t="s">
        <v>82</v>
      </c>
      <c r="B49" s="28" t="s">
        <v>31</v>
      </c>
      <c r="C49" s="21">
        <v>8469</v>
      </c>
      <c r="D49" s="22"/>
      <c r="E49" s="22">
        <f t="shared" si="4"/>
        <v>8469</v>
      </c>
      <c r="F49" s="21">
        <v>1178.24</v>
      </c>
      <c r="G49" s="22"/>
      <c r="H49" s="23">
        <f t="shared" si="5"/>
        <v>1178.24</v>
      </c>
    </row>
    <row r="50" spans="1:8" s="10" customFormat="1" ht="11.25">
      <c r="A50" s="19" t="s">
        <v>55</v>
      </c>
      <c r="B50" s="25" t="s">
        <v>31</v>
      </c>
      <c r="C50" s="21">
        <v>3250</v>
      </c>
      <c r="D50" s="22"/>
      <c r="E50" s="22">
        <f t="shared" si="4"/>
        <v>3250</v>
      </c>
      <c r="F50" s="21">
        <f>4083.33+7000-3250</f>
        <v>7833.33</v>
      </c>
      <c r="G50" s="22"/>
      <c r="H50" s="23">
        <f t="shared" si="5"/>
        <v>7833.33</v>
      </c>
    </row>
    <row r="51" spans="1:8" s="10" customFormat="1" ht="11.25">
      <c r="A51" s="19" t="s">
        <v>22</v>
      </c>
      <c r="B51" s="25"/>
      <c r="C51" s="21">
        <v>1295.31</v>
      </c>
      <c r="D51" s="22"/>
      <c r="E51" s="22">
        <f t="shared" si="4"/>
        <v>1295.31</v>
      </c>
      <c r="F51" s="21">
        <v>8059.97</v>
      </c>
      <c r="G51" s="22"/>
      <c r="H51" s="23">
        <f t="shared" si="5"/>
        <v>8059.97</v>
      </c>
    </row>
    <row r="52" spans="1:8" s="10" customFormat="1" ht="11.25">
      <c r="A52" s="89" t="s">
        <v>35</v>
      </c>
      <c r="B52" s="25" t="s">
        <v>31</v>
      </c>
      <c r="C52" s="31">
        <v>1011.1</v>
      </c>
      <c r="D52" s="22"/>
      <c r="E52" s="22">
        <f t="shared" si="4"/>
        <v>1011.1</v>
      </c>
      <c r="F52" s="21">
        <v>23586.9</v>
      </c>
      <c r="G52" s="22"/>
      <c r="H52" s="23">
        <f t="shared" si="5"/>
        <v>23586.9</v>
      </c>
    </row>
    <row r="53" spans="1:8" s="10" customFormat="1" ht="11.25" hidden="1">
      <c r="A53" s="19" t="s">
        <v>45</v>
      </c>
      <c r="B53" s="25" t="s">
        <v>31</v>
      </c>
      <c r="C53" s="21"/>
      <c r="D53" s="22"/>
      <c r="E53" s="22">
        <f t="shared" si="4"/>
        <v>0</v>
      </c>
      <c r="F53" s="21">
        <v>2462</v>
      </c>
      <c r="G53" s="22"/>
      <c r="H53" s="23">
        <f t="shared" si="5"/>
        <v>2462</v>
      </c>
    </row>
    <row r="54" spans="1:8" s="10" customFormat="1" ht="11.25" hidden="1">
      <c r="A54" s="19" t="s">
        <v>69</v>
      </c>
      <c r="B54" s="25"/>
      <c r="C54" s="21"/>
      <c r="D54" s="22"/>
      <c r="E54" s="22">
        <f t="shared" si="4"/>
        <v>0</v>
      </c>
      <c r="F54" s="21">
        <v>5000</v>
      </c>
      <c r="G54" s="22"/>
      <c r="H54" s="23">
        <f t="shared" si="5"/>
        <v>5000</v>
      </c>
    </row>
    <row r="55" spans="1:8" s="10" customFormat="1" ht="11.25" hidden="1">
      <c r="A55" s="19" t="s">
        <v>68</v>
      </c>
      <c r="B55" s="20"/>
      <c r="C55" s="21"/>
      <c r="D55" s="22"/>
      <c r="E55" s="22">
        <f t="shared" si="4"/>
        <v>0</v>
      </c>
      <c r="F55" s="21">
        <v>5000</v>
      </c>
      <c r="G55" s="22"/>
      <c r="H55" s="23">
        <f t="shared" si="5"/>
        <v>5000</v>
      </c>
    </row>
    <row r="56" spans="1:8" s="10" customFormat="1" ht="11.25" hidden="1">
      <c r="A56" s="19" t="s">
        <v>70</v>
      </c>
      <c r="B56" s="25"/>
      <c r="C56" s="21"/>
      <c r="D56" s="43"/>
      <c r="E56" s="22">
        <f t="shared" si="4"/>
        <v>0</v>
      </c>
      <c r="F56" s="21">
        <v>3000</v>
      </c>
      <c r="G56" s="43"/>
      <c r="H56" s="23">
        <f t="shared" si="5"/>
        <v>3000</v>
      </c>
    </row>
    <row r="57" spans="1:8" s="10" customFormat="1" ht="11.25" hidden="1">
      <c r="A57" s="40" t="s">
        <v>67</v>
      </c>
      <c r="B57" s="25"/>
      <c r="C57" s="21"/>
      <c r="D57" s="22"/>
      <c r="E57" s="22">
        <f t="shared" si="4"/>
        <v>0</v>
      </c>
      <c r="F57" s="21">
        <f>5676.08+2126.57</f>
        <v>7802.65</v>
      </c>
      <c r="G57" s="22"/>
      <c r="H57" s="23">
        <f t="shared" si="5"/>
        <v>7802.65</v>
      </c>
    </row>
    <row r="58" spans="1:8" s="10" customFormat="1" ht="11.25" hidden="1">
      <c r="A58" s="24" t="s">
        <v>36</v>
      </c>
      <c r="B58" s="44" t="s">
        <v>31</v>
      </c>
      <c r="C58" s="21"/>
      <c r="D58" s="22"/>
      <c r="E58" s="22">
        <f t="shared" si="4"/>
        <v>0</v>
      </c>
      <c r="F58" s="21">
        <v>6500</v>
      </c>
      <c r="G58" s="22"/>
      <c r="H58" s="23">
        <f t="shared" si="5"/>
        <v>6500</v>
      </c>
    </row>
    <row r="59" spans="1:8" s="10" customFormat="1" ht="11.25" hidden="1">
      <c r="A59" s="75" t="s">
        <v>17</v>
      </c>
      <c r="B59" s="44" t="s">
        <v>31</v>
      </c>
      <c r="C59" s="31"/>
      <c r="D59" s="30"/>
      <c r="E59" s="30">
        <f t="shared" si="4"/>
        <v>0</v>
      </c>
      <c r="F59" s="31">
        <v>14500</v>
      </c>
      <c r="G59" s="30"/>
      <c r="H59" s="33">
        <f t="shared" si="5"/>
        <v>14500</v>
      </c>
    </row>
    <row r="60" spans="1:8" s="10" customFormat="1" ht="11.25">
      <c r="A60" s="38"/>
      <c r="B60" s="28"/>
      <c r="C60" s="34">
        <f aca="true" t="shared" si="6" ref="C60:H60">SUM(C42:C59)</f>
        <v>403997.99</v>
      </c>
      <c r="D60" s="34">
        <f t="shared" si="6"/>
        <v>-487.61999999999995</v>
      </c>
      <c r="E60" s="34">
        <f t="shared" si="6"/>
        <v>403510.37</v>
      </c>
      <c r="F60" s="34">
        <f t="shared" si="6"/>
        <v>323503.23000000004</v>
      </c>
      <c r="G60" s="34">
        <f t="shared" si="6"/>
        <v>-194.94</v>
      </c>
      <c r="H60" s="35">
        <f t="shared" si="6"/>
        <v>323308.29000000004</v>
      </c>
    </row>
    <row r="61" spans="1:8" s="10" customFormat="1" ht="11.25">
      <c r="A61" s="42"/>
      <c r="B61" s="25"/>
      <c r="C61" s="83"/>
      <c r="D61" s="76"/>
      <c r="E61" s="76"/>
      <c r="F61" s="76"/>
      <c r="G61" s="76"/>
      <c r="H61" s="76"/>
    </row>
    <row r="62" spans="1:8" s="10" customFormat="1" ht="11.25" hidden="1">
      <c r="A62" s="25"/>
      <c r="B62" s="25"/>
      <c r="C62" s="76"/>
      <c r="D62" s="76"/>
      <c r="E62" s="76"/>
      <c r="F62" s="76"/>
      <c r="G62" s="76"/>
      <c r="H62" s="76"/>
    </row>
    <row r="63" spans="1:8" s="10" customFormat="1" ht="12" hidden="1" thickBot="1">
      <c r="A63" s="77"/>
      <c r="B63" s="77"/>
      <c r="C63" s="78"/>
      <c r="D63" s="78"/>
      <c r="E63" s="78"/>
      <c r="F63" s="78"/>
      <c r="G63" s="78"/>
      <c r="H63" s="78"/>
    </row>
    <row r="64" spans="1:8" s="10" customFormat="1" ht="12" hidden="1" thickTop="1">
      <c r="A64" s="25"/>
      <c r="B64" s="25"/>
      <c r="C64" s="79"/>
      <c r="D64" s="79"/>
      <c r="E64" s="79"/>
      <c r="F64" s="76"/>
      <c r="G64" s="76"/>
      <c r="H64" s="80"/>
    </row>
    <row r="65" spans="1:8" s="10" customFormat="1" ht="11.25">
      <c r="A65" s="36" t="s">
        <v>47</v>
      </c>
      <c r="B65" s="28"/>
      <c r="C65" s="21"/>
      <c r="D65" s="22"/>
      <c r="E65" s="22"/>
      <c r="F65" s="21"/>
      <c r="G65" s="22"/>
      <c r="H65" s="23"/>
    </row>
    <row r="66" spans="1:9" s="10" customFormat="1" ht="11.25">
      <c r="A66" s="90" t="s">
        <v>40</v>
      </c>
      <c r="B66" s="25" t="s">
        <v>32</v>
      </c>
      <c r="C66" s="21">
        <v>55550</v>
      </c>
      <c r="D66" s="22">
        <v>35000</v>
      </c>
      <c r="E66" s="22">
        <f>C66+D66</f>
        <v>90550</v>
      </c>
      <c r="F66" s="21">
        <f>50000+50000+4083.33+7000-5550+3500</f>
        <v>109033.33</v>
      </c>
      <c r="G66" s="22">
        <v>-35000</v>
      </c>
      <c r="H66" s="23">
        <f>F66+G66</f>
        <v>74033.33</v>
      </c>
      <c r="I66" s="98" t="s">
        <v>164</v>
      </c>
    </row>
    <row r="67" spans="1:9" s="10" customFormat="1" ht="11.25">
      <c r="A67" s="96" t="s">
        <v>128</v>
      </c>
      <c r="B67" s="25" t="s">
        <v>32</v>
      </c>
      <c r="C67" s="21">
        <v>74158.19</v>
      </c>
      <c r="D67" s="22"/>
      <c r="E67" s="22">
        <f>C67+D67</f>
        <v>74158.19</v>
      </c>
      <c r="F67" s="21">
        <v>0</v>
      </c>
      <c r="G67" s="22"/>
      <c r="H67" s="23">
        <f>F67+G67</f>
        <v>0</v>
      </c>
      <c r="I67" s="10" t="s">
        <v>166</v>
      </c>
    </row>
    <row r="68" spans="1:9" s="10" customFormat="1" ht="11.25">
      <c r="A68" s="97" t="s">
        <v>74</v>
      </c>
      <c r="B68" s="28" t="s">
        <v>32</v>
      </c>
      <c r="C68" s="21">
        <v>53250</v>
      </c>
      <c r="D68" s="22"/>
      <c r="E68" s="22">
        <f>C68+D68</f>
        <v>53250</v>
      </c>
      <c r="F68" s="21">
        <f>4083.33+7000-3250</f>
        <v>7833.33</v>
      </c>
      <c r="G68" s="22"/>
      <c r="H68" s="23">
        <f>F68+G68</f>
        <v>7833.33</v>
      </c>
      <c r="I68" s="10" t="s">
        <v>167</v>
      </c>
    </row>
    <row r="69" spans="1:9" s="10" customFormat="1" ht="11.25">
      <c r="A69" s="96" t="s">
        <v>131</v>
      </c>
      <c r="B69" s="25" t="s">
        <v>32</v>
      </c>
      <c r="C69" s="21">
        <v>50000</v>
      </c>
      <c r="D69" s="22"/>
      <c r="E69" s="22">
        <f>C69+D69</f>
        <v>50000</v>
      </c>
      <c r="F69" s="21">
        <v>50000</v>
      </c>
      <c r="G69" s="22"/>
      <c r="H69" s="23">
        <f>F69+G69</f>
        <v>50000</v>
      </c>
      <c r="I69" s="98" t="s">
        <v>164</v>
      </c>
    </row>
    <row r="70" spans="1:9" s="10" customFormat="1" ht="11.25">
      <c r="A70" s="96" t="s">
        <v>91</v>
      </c>
      <c r="B70" s="25"/>
      <c r="C70" s="21">
        <v>50000</v>
      </c>
      <c r="D70" s="22"/>
      <c r="E70" s="22">
        <f aca="true" t="shared" si="7" ref="E70:E106">C70+D70</f>
        <v>50000</v>
      </c>
      <c r="F70" s="21">
        <v>0</v>
      </c>
      <c r="G70" s="22"/>
      <c r="H70" s="23">
        <f aca="true" t="shared" si="8" ref="H70:H106">F70+G70</f>
        <v>0</v>
      </c>
      <c r="I70" s="10" t="s">
        <v>166</v>
      </c>
    </row>
    <row r="71" spans="1:9" s="10" customFormat="1" ht="11.25">
      <c r="A71" s="99" t="s">
        <v>130</v>
      </c>
      <c r="B71" s="25" t="s">
        <v>32</v>
      </c>
      <c r="C71" s="21">
        <v>48950</v>
      </c>
      <c r="D71" s="22"/>
      <c r="E71" s="22">
        <f t="shared" si="7"/>
        <v>48950</v>
      </c>
      <c r="F71" s="21">
        <f>50000-8600-7000+4083.33+7000-3250</f>
        <v>42233.33</v>
      </c>
      <c r="G71" s="22"/>
      <c r="H71" s="23">
        <f t="shared" si="8"/>
        <v>42233.33</v>
      </c>
      <c r="I71" s="98" t="s">
        <v>170</v>
      </c>
    </row>
    <row r="72" spans="1:9" s="25" customFormat="1" ht="11.25">
      <c r="A72" s="96" t="s">
        <v>129</v>
      </c>
      <c r="C72" s="21">
        <v>40000</v>
      </c>
      <c r="D72" s="22"/>
      <c r="E72" s="22">
        <f t="shared" si="7"/>
        <v>40000</v>
      </c>
      <c r="F72" s="21">
        <v>0</v>
      </c>
      <c r="G72" s="22"/>
      <c r="H72" s="23">
        <f t="shared" si="8"/>
        <v>0</v>
      </c>
      <c r="I72" s="25" t="s">
        <v>165</v>
      </c>
    </row>
    <row r="73" spans="1:9" s="10" customFormat="1" ht="11.25">
      <c r="A73" s="96" t="s">
        <v>116</v>
      </c>
      <c r="B73" s="25"/>
      <c r="C73" s="21">
        <v>40000</v>
      </c>
      <c r="D73" s="22"/>
      <c r="E73" s="22">
        <f t="shared" si="7"/>
        <v>40000</v>
      </c>
      <c r="F73" s="21">
        <v>40000</v>
      </c>
      <c r="G73" s="22"/>
      <c r="H73" s="23">
        <f t="shared" si="8"/>
        <v>40000</v>
      </c>
      <c r="I73" s="10" t="s">
        <v>165</v>
      </c>
    </row>
    <row r="74" spans="1:9" s="10" customFormat="1" ht="11.25">
      <c r="A74" s="96" t="s">
        <v>71</v>
      </c>
      <c r="B74" s="25"/>
      <c r="C74" s="21">
        <v>32064.52</v>
      </c>
      <c r="D74" s="22"/>
      <c r="E74" s="22">
        <f t="shared" si="7"/>
        <v>32064.52</v>
      </c>
      <c r="F74" s="21">
        <f>40770-8132.65</f>
        <v>32637.35</v>
      </c>
      <c r="G74" s="22"/>
      <c r="H74" s="23">
        <f t="shared" si="8"/>
        <v>32637.35</v>
      </c>
      <c r="I74" s="10" t="s">
        <v>159</v>
      </c>
    </row>
    <row r="75" spans="1:9" s="10" customFormat="1" ht="11.25">
      <c r="A75" s="99" t="s">
        <v>137</v>
      </c>
      <c r="B75" s="25" t="s">
        <v>32</v>
      </c>
      <c r="C75" s="21">
        <f>23197.99+16122.3-12500</f>
        <v>26820.29</v>
      </c>
      <c r="D75" s="22"/>
      <c r="E75" s="22">
        <f t="shared" si="7"/>
        <v>26820.29</v>
      </c>
      <c r="F75" s="21">
        <f>70086.67+50000+2811.26+1429.33-23197.99</f>
        <v>101129.26999999999</v>
      </c>
      <c r="G75" s="22"/>
      <c r="H75" s="23">
        <f t="shared" si="8"/>
        <v>101129.26999999999</v>
      </c>
      <c r="I75" s="10" t="s">
        <v>168</v>
      </c>
    </row>
    <row r="76" spans="1:9" s="10" customFormat="1" ht="11.25">
      <c r="A76" s="38" t="s">
        <v>37</v>
      </c>
      <c r="B76" s="25" t="s">
        <v>32</v>
      </c>
      <c r="C76" s="21">
        <v>18500</v>
      </c>
      <c r="D76" s="22"/>
      <c r="E76" s="22">
        <f t="shared" si="7"/>
        <v>18500</v>
      </c>
      <c r="F76" s="21">
        <f>4083.33+22000-22000</f>
        <v>4083.3300000000017</v>
      </c>
      <c r="G76" s="22"/>
      <c r="H76" s="23">
        <f t="shared" si="8"/>
        <v>4083.3300000000017</v>
      </c>
      <c r="I76" s="10" t="s">
        <v>166</v>
      </c>
    </row>
    <row r="77" spans="1:9" s="10" customFormat="1" ht="11.25">
      <c r="A77" s="99" t="s">
        <v>72</v>
      </c>
      <c r="B77" s="25" t="s">
        <v>32</v>
      </c>
      <c r="C77" s="21">
        <v>12800</v>
      </c>
      <c r="D77" s="22"/>
      <c r="E77" s="22">
        <f t="shared" si="7"/>
        <v>12800</v>
      </c>
      <c r="F77" s="21">
        <f>4829.52+7000+20722.5-12800</f>
        <v>19752.02</v>
      </c>
      <c r="G77" s="22"/>
      <c r="H77" s="23">
        <f t="shared" si="8"/>
        <v>19752.02</v>
      </c>
      <c r="I77" s="10" t="s">
        <v>168</v>
      </c>
    </row>
    <row r="78" spans="1:9" s="10" customFormat="1" ht="11.25">
      <c r="A78" s="38" t="s">
        <v>97</v>
      </c>
      <c r="B78" s="25"/>
      <c r="C78" s="21">
        <v>10000</v>
      </c>
      <c r="D78" s="22"/>
      <c r="E78" s="22">
        <f t="shared" si="7"/>
        <v>10000</v>
      </c>
      <c r="F78" s="21">
        <v>0</v>
      </c>
      <c r="G78" s="22"/>
      <c r="H78" s="23">
        <f t="shared" si="8"/>
        <v>0</v>
      </c>
      <c r="I78" s="10" t="s">
        <v>165</v>
      </c>
    </row>
    <row r="79" spans="1:9" s="10" customFormat="1" ht="11.25">
      <c r="A79" s="38" t="s">
        <v>104</v>
      </c>
      <c r="B79" s="25"/>
      <c r="C79" s="21">
        <v>7000</v>
      </c>
      <c r="D79" s="22"/>
      <c r="E79" s="22">
        <f t="shared" si="7"/>
        <v>7000</v>
      </c>
      <c r="F79" s="21">
        <v>0</v>
      </c>
      <c r="G79" s="22"/>
      <c r="H79" s="23">
        <f t="shared" si="8"/>
        <v>0</v>
      </c>
      <c r="I79" s="10" t="s">
        <v>166</v>
      </c>
    </row>
    <row r="80" spans="1:9" s="10" customFormat="1" ht="11.25">
      <c r="A80" s="40" t="s">
        <v>143</v>
      </c>
      <c r="B80" s="41" t="s">
        <v>32</v>
      </c>
      <c r="C80" s="21">
        <v>7000</v>
      </c>
      <c r="D80" s="22"/>
      <c r="E80" s="22">
        <f t="shared" si="7"/>
        <v>7000</v>
      </c>
      <c r="F80" s="21">
        <f>4083.33+7000-7000+1916.46</f>
        <v>5999.79</v>
      </c>
      <c r="G80" s="22"/>
      <c r="H80" s="23">
        <f t="shared" si="8"/>
        <v>5999.79</v>
      </c>
      <c r="I80" s="10" t="s">
        <v>168</v>
      </c>
    </row>
    <row r="81" spans="1:9" s="10" customFormat="1" ht="11.25">
      <c r="A81" s="92" t="s">
        <v>76</v>
      </c>
      <c r="B81" s="25" t="s">
        <v>32</v>
      </c>
      <c r="C81" s="21">
        <v>6750</v>
      </c>
      <c r="D81" s="22"/>
      <c r="E81" s="22">
        <f t="shared" si="7"/>
        <v>6750</v>
      </c>
      <c r="F81" s="21">
        <v>6000</v>
      </c>
      <c r="G81" s="22"/>
      <c r="H81" s="23">
        <f t="shared" si="8"/>
        <v>6000</v>
      </c>
      <c r="I81" s="10" t="s">
        <v>164</v>
      </c>
    </row>
    <row r="82" spans="1:9" s="25" customFormat="1" ht="11.25">
      <c r="A82" s="24" t="s">
        <v>39</v>
      </c>
      <c r="B82" s="25" t="s">
        <v>32</v>
      </c>
      <c r="C82" s="21">
        <v>5600</v>
      </c>
      <c r="D82" s="22"/>
      <c r="E82" s="22">
        <f t="shared" si="7"/>
        <v>5600</v>
      </c>
      <c r="F82" s="21">
        <f>4083.33+7000+5000-5600</f>
        <v>10483.33</v>
      </c>
      <c r="G82" s="22"/>
      <c r="H82" s="23">
        <f t="shared" si="8"/>
        <v>10483.33</v>
      </c>
      <c r="I82" s="25" t="s">
        <v>166</v>
      </c>
    </row>
    <row r="83" spans="1:8" s="10" customFormat="1" ht="11.25">
      <c r="A83" s="19" t="s">
        <v>132</v>
      </c>
      <c r="B83" s="25"/>
      <c r="C83" s="21">
        <v>4026.09</v>
      </c>
      <c r="D83" s="22"/>
      <c r="E83" s="22">
        <f t="shared" si="7"/>
        <v>4026.09</v>
      </c>
      <c r="F83" s="21">
        <v>0</v>
      </c>
      <c r="G83" s="22"/>
      <c r="H83" s="23">
        <f t="shared" si="8"/>
        <v>0</v>
      </c>
    </row>
    <row r="84" spans="1:9" s="10" customFormat="1" ht="11.25">
      <c r="A84" s="19" t="s">
        <v>111</v>
      </c>
      <c r="B84" s="25" t="s">
        <v>32</v>
      </c>
      <c r="C84" s="21">
        <v>3250</v>
      </c>
      <c r="D84" s="22"/>
      <c r="E84" s="22">
        <f t="shared" si="7"/>
        <v>3250</v>
      </c>
      <c r="F84" s="21">
        <f>4083.33+7000-3250</f>
        <v>7833.33</v>
      </c>
      <c r="G84" s="22"/>
      <c r="H84" s="23">
        <f t="shared" si="8"/>
        <v>7833.33</v>
      </c>
      <c r="I84" s="10" t="s">
        <v>165</v>
      </c>
    </row>
    <row r="85" spans="1:9" s="10" customFormat="1" ht="11.25">
      <c r="A85" s="19" t="s">
        <v>43</v>
      </c>
      <c r="B85" s="25" t="s">
        <v>32</v>
      </c>
      <c r="C85" s="21">
        <v>3000</v>
      </c>
      <c r="D85" s="22"/>
      <c r="E85" s="22">
        <f t="shared" si="7"/>
        <v>3000</v>
      </c>
      <c r="F85" s="21">
        <f>1750+3000-3000</f>
        <v>1750</v>
      </c>
      <c r="G85" s="22"/>
      <c r="H85" s="23">
        <f t="shared" si="8"/>
        <v>1750</v>
      </c>
      <c r="I85" s="10" t="s">
        <v>166</v>
      </c>
    </row>
    <row r="86" spans="1:9" s="10" customFormat="1" ht="11.25">
      <c r="A86" s="19" t="s">
        <v>56</v>
      </c>
      <c r="B86" s="25"/>
      <c r="C86" s="21">
        <v>2000</v>
      </c>
      <c r="D86" s="22"/>
      <c r="E86" s="22">
        <f t="shared" si="7"/>
        <v>2000</v>
      </c>
      <c r="F86" s="21">
        <f>4230.12-2000</f>
        <v>2230.12</v>
      </c>
      <c r="G86" s="22"/>
      <c r="H86" s="23">
        <f t="shared" si="8"/>
        <v>2230.12</v>
      </c>
      <c r="I86" s="10" t="s">
        <v>168</v>
      </c>
    </row>
    <row r="87" spans="1:9" s="10" customFormat="1" ht="11.25">
      <c r="A87" s="89" t="s">
        <v>133</v>
      </c>
      <c r="B87" s="25"/>
      <c r="C87" s="21">
        <v>1500</v>
      </c>
      <c r="D87" s="22"/>
      <c r="E87" s="22">
        <f t="shared" si="7"/>
        <v>1500</v>
      </c>
      <c r="F87" s="21">
        <v>0</v>
      </c>
      <c r="G87" s="22"/>
      <c r="H87" s="23">
        <f t="shared" si="8"/>
        <v>0</v>
      </c>
      <c r="I87" s="98" t="s">
        <v>164</v>
      </c>
    </row>
    <row r="88" spans="1:9" s="10" customFormat="1" ht="11.25">
      <c r="A88" s="19" t="s">
        <v>54</v>
      </c>
      <c r="B88" s="25"/>
      <c r="C88" s="21">
        <v>1400</v>
      </c>
      <c r="D88" s="22"/>
      <c r="E88" s="22">
        <f t="shared" si="7"/>
        <v>1400</v>
      </c>
      <c r="F88" s="21">
        <f>3000-1400</f>
        <v>1600</v>
      </c>
      <c r="G88" s="22"/>
      <c r="H88" s="23">
        <f t="shared" si="8"/>
        <v>1600</v>
      </c>
      <c r="I88" s="10" t="s">
        <v>166</v>
      </c>
    </row>
    <row r="89" spans="1:9" s="10" customFormat="1" ht="11.25">
      <c r="A89" s="24" t="s">
        <v>113</v>
      </c>
      <c r="B89" s="25" t="s">
        <v>32</v>
      </c>
      <c r="C89" s="21">
        <v>1400</v>
      </c>
      <c r="D89" s="22"/>
      <c r="E89" s="22">
        <f t="shared" si="7"/>
        <v>1400</v>
      </c>
      <c r="F89" s="21">
        <f>1750+3000-1400</f>
        <v>3350</v>
      </c>
      <c r="G89" s="22"/>
      <c r="H89" s="23">
        <f t="shared" si="8"/>
        <v>3350</v>
      </c>
      <c r="I89" s="10" t="s">
        <v>165</v>
      </c>
    </row>
    <row r="90" spans="1:8" s="10" customFormat="1" ht="11.25">
      <c r="A90" s="24" t="s">
        <v>46</v>
      </c>
      <c r="B90" s="25" t="s">
        <v>32</v>
      </c>
      <c r="C90" s="21">
        <v>1023.58</v>
      </c>
      <c r="D90" s="22"/>
      <c r="E90" s="22">
        <f t="shared" si="7"/>
        <v>1023.58</v>
      </c>
      <c r="F90" s="21">
        <f>5000-2876.1</f>
        <v>2123.9</v>
      </c>
      <c r="G90" s="22"/>
      <c r="H90" s="23">
        <f t="shared" si="8"/>
        <v>2123.9</v>
      </c>
    </row>
    <row r="91" spans="1:8" s="10" customFormat="1" ht="11.25">
      <c r="A91" s="40" t="s">
        <v>134</v>
      </c>
      <c r="B91" s="42"/>
      <c r="C91" s="21">
        <v>1000</v>
      </c>
      <c r="D91" s="22"/>
      <c r="E91" s="22">
        <f t="shared" si="7"/>
        <v>1000</v>
      </c>
      <c r="F91" s="21">
        <v>0</v>
      </c>
      <c r="G91" s="22"/>
      <c r="H91" s="23">
        <f t="shared" si="8"/>
        <v>0</v>
      </c>
    </row>
    <row r="92" spans="1:8" s="10" customFormat="1" ht="11.25">
      <c r="A92" s="24" t="s">
        <v>21</v>
      </c>
      <c r="B92" s="42" t="s">
        <v>32</v>
      </c>
      <c r="C92" s="21">
        <v>830</v>
      </c>
      <c r="D92" s="22"/>
      <c r="E92" s="22">
        <f t="shared" si="7"/>
        <v>830</v>
      </c>
      <c r="F92" s="21">
        <f>5000-2600</f>
        <v>2400</v>
      </c>
      <c r="G92" s="22"/>
      <c r="H92" s="23">
        <f t="shared" si="8"/>
        <v>2400</v>
      </c>
    </row>
    <row r="93" spans="1:8" s="10" customFormat="1" ht="11.25">
      <c r="A93" s="40" t="s">
        <v>42</v>
      </c>
      <c r="B93" s="42" t="s">
        <v>32</v>
      </c>
      <c r="C93" s="21">
        <v>830</v>
      </c>
      <c r="D93" s="22"/>
      <c r="E93" s="22">
        <f t="shared" si="7"/>
        <v>830</v>
      </c>
      <c r="F93" s="21">
        <f>5000-1100.52-2600</f>
        <v>1299.48</v>
      </c>
      <c r="G93" s="22"/>
      <c r="H93" s="23">
        <f t="shared" si="8"/>
        <v>1299.48</v>
      </c>
    </row>
    <row r="94" spans="1:8" s="10" customFormat="1" ht="11.25">
      <c r="A94" s="19" t="s">
        <v>138</v>
      </c>
      <c r="B94" s="25" t="s">
        <v>32</v>
      </c>
      <c r="C94" s="21">
        <v>830</v>
      </c>
      <c r="D94" s="22"/>
      <c r="E94" s="22">
        <f t="shared" si="7"/>
        <v>830</v>
      </c>
      <c r="F94" s="21">
        <f>5000-1100.53-2600</f>
        <v>1299.4700000000003</v>
      </c>
      <c r="G94" s="22"/>
      <c r="H94" s="23">
        <f t="shared" si="8"/>
        <v>1299.4700000000003</v>
      </c>
    </row>
    <row r="95" spans="1:8" s="10" customFormat="1" ht="11.25">
      <c r="A95" s="38" t="s">
        <v>77</v>
      </c>
      <c r="B95" s="25" t="s">
        <v>32</v>
      </c>
      <c r="C95" s="21">
        <v>830</v>
      </c>
      <c r="D95" s="22"/>
      <c r="E95" s="22">
        <f t="shared" si="7"/>
        <v>830</v>
      </c>
      <c r="F95" s="21">
        <f>5000-2600</f>
        <v>2400</v>
      </c>
      <c r="G95" s="22"/>
      <c r="H95" s="23">
        <f t="shared" si="8"/>
        <v>2400</v>
      </c>
    </row>
    <row r="96" spans="1:8" s="10" customFormat="1" ht="11.25">
      <c r="A96" s="38" t="s">
        <v>78</v>
      </c>
      <c r="B96" s="42" t="s">
        <v>32</v>
      </c>
      <c r="C96" s="21">
        <v>830</v>
      </c>
      <c r="D96" s="22"/>
      <c r="E96" s="22">
        <f t="shared" si="7"/>
        <v>830</v>
      </c>
      <c r="F96" s="21">
        <f>5000-2600</f>
        <v>2400</v>
      </c>
      <c r="G96" s="22"/>
      <c r="H96" s="23">
        <f t="shared" si="8"/>
        <v>2400</v>
      </c>
    </row>
    <row r="97" spans="1:8" s="10" customFormat="1" ht="11.25">
      <c r="A97" s="38" t="s">
        <v>79</v>
      </c>
      <c r="B97" s="42" t="s">
        <v>32</v>
      </c>
      <c r="C97" s="21">
        <v>830</v>
      </c>
      <c r="D97" s="22"/>
      <c r="E97" s="22">
        <f t="shared" si="7"/>
        <v>830</v>
      </c>
      <c r="F97" s="21">
        <f>5000-2600</f>
        <v>2400</v>
      </c>
      <c r="G97" s="22"/>
      <c r="H97" s="23">
        <f t="shared" si="8"/>
        <v>2400</v>
      </c>
    </row>
    <row r="98" spans="1:8" s="10" customFormat="1" ht="11.25">
      <c r="A98" s="38" t="s">
        <v>144</v>
      </c>
      <c r="B98" s="42" t="s">
        <v>32</v>
      </c>
      <c r="C98" s="31">
        <v>830</v>
      </c>
      <c r="D98" s="22"/>
      <c r="E98" s="22">
        <f t="shared" si="7"/>
        <v>830</v>
      </c>
      <c r="F98" s="39">
        <f>5000-2600</f>
        <v>2400</v>
      </c>
      <c r="G98" s="22"/>
      <c r="H98" s="23">
        <f t="shared" si="8"/>
        <v>2400</v>
      </c>
    </row>
    <row r="99" spans="1:8" s="10" customFormat="1" ht="11.25" hidden="1">
      <c r="A99" s="19" t="s">
        <v>49</v>
      </c>
      <c r="B99" s="25"/>
      <c r="C99" s="39"/>
      <c r="D99" s="22">
        <v>2613.63</v>
      </c>
      <c r="E99" s="22">
        <f t="shared" si="7"/>
        <v>2613.63</v>
      </c>
      <c r="F99" s="39">
        <v>31180</v>
      </c>
      <c r="G99" s="22">
        <v>-2613.63</v>
      </c>
      <c r="H99" s="23">
        <f t="shared" si="8"/>
        <v>28566.37</v>
      </c>
    </row>
    <row r="100" spans="1:8" s="25" customFormat="1" ht="11.25" hidden="1">
      <c r="A100" s="40" t="s">
        <v>75</v>
      </c>
      <c r="C100" s="21"/>
      <c r="D100" s="22">
        <v>486</v>
      </c>
      <c r="E100" s="22">
        <f aca="true" t="shared" si="9" ref="E100:E105">C100+D100</f>
        <v>486</v>
      </c>
      <c r="F100" s="21">
        <v>8140.01</v>
      </c>
      <c r="G100" s="22">
        <v>-486</v>
      </c>
      <c r="H100" s="23">
        <f aca="true" t="shared" si="10" ref="H100:H105">F100+G100</f>
        <v>7654.01</v>
      </c>
    </row>
    <row r="101" spans="1:8" s="10" customFormat="1" ht="11.25" hidden="1">
      <c r="A101" s="24" t="s">
        <v>41</v>
      </c>
      <c r="B101" s="20" t="s">
        <v>32</v>
      </c>
      <c r="C101" s="21"/>
      <c r="D101" s="22"/>
      <c r="E101" s="22">
        <f t="shared" si="9"/>
        <v>0</v>
      </c>
      <c r="F101" s="21">
        <v>4083.33</v>
      </c>
      <c r="G101" s="22"/>
      <c r="H101" s="23">
        <f t="shared" si="10"/>
        <v>4083.33</v>
      </c>
    </row>
    <row r="102" spans="1:8" s="10" customFormat="1" ht="11.25" hidden="1">
      <c r="A102" s="40" t="s">
        <v>61</v>
      </c>
      <c r="B102" s="25"/>
      <c r="C102" s="21"/>
      <c r="D102" s="22"/>
      <c r="E102" s="22">
        <f t="shared" si="9"/>
        <v>0</v>
      </c>
      <c r="F102" s="21">
        <v>3813.88</v>
      </c>
      <c r="G102" s="22"/>
      <c r="H102" s="23">
        <f t="shared" si="10"/>
        <v>3813.88</v>
      </c>
    </row>
    <row r="103" spans="1:8" s="10" customFormat="1" ht="11.25" hidden="1">
      <c r="A103" s="38" t="s">
        <v>73</v>
      </c>
      <c r="B103" s="28" t="s">
        <v>32</v>
      </c>
      <c r="C103" s="21"/>
      <c r="D103" s="22"/>
      <c r="E103" s="22">
        <f t="shared" si="9"/>
        <v>0</v>
      </c>
      <c r="F103" s="21">
        <f>4083+8416.09</f>
        <v>12499.09</v>
      </c>
      <c r="G103" s="22"/>
      <c r="H103" s="23">
        <f t="shared" si="10"/>
        <v>12499.09</v>
      </c>
    </row>
    <row r="104" spans="1:8" s="10" customFormat="1" ht="11.25" hidden="1">
      <c r="A104" s="38" t="s">
        <v>44</v>
      </c>
      <c r="B104" s="25" t="s">
        <v>32</v>
      </c>
      <c r="C104" s="21"/>
      <c r="D104" s="22"/>
      <c r="E104" s="22">
        <f t="shared" si="9"/>
        <v>0</v>
      </c>
      <c r="F104" s="21">
        <v>1750</v>
      </c>
      <c r="G104" s="22"/>
      <c r="H104" s="23">
        <f t="shared" si="10"/>
        <v>1750</v>
      </c>
    </row>
    <row r="105" spans="1:8" s="10" customFormat="1" ht="11.25" hidden="1">
      <c r="A105" s="40" t="s">
        <v>62</v>
      </c>
      <c r="B105" s="25"/>
      <c r="C105" s="21"/>
      <c r="D105" s="22"/>
      <c r="E105" s="22">
        <f t="shared" si="9"/>
        <v>0</v>
      </c>
      <c r="F105" s="21">
        <v>2000</v>
      </c>
      <c r="G105" s="22"/>
      <c r="H105" s="23">
        <f t="shared" si="10"/>
        <v>2000</v>
      </c>
    </row>
    <row r="106" spans="1:8" s="10" customFormat="1" ht="11.25" hidden="1">
      <c r="A106" s="38" t="s">
        <v>38</v>
      </c>
      <c r="B106" s="25" t="s">
        <v>32</v>
      </c>
      <c r="C106" s="31"/>
      <c r="D106" s="30"/>
      <c r="E106" s="30">
        <f t="shared" si="7"/>
        <v>0</v>
      </c>
      <c r="F106" s="31">
        <v>4083.333</v>
      </c>
      <c r="G106" s="30"/>
      <c r="H106" s="33">
        <f t="shared" si="8"/>
        <v>4083.333</v>
      </c>
    </row>
    <row r="107" spans="1:8" s="10" customFormat="1" ht="11.25">
      <c r="A107" s="40"/>
      <c r="B107" s="42"/>
      <c r="C107" s="34">
        <f aca="true" t="shared" si="11" ref="C107:H107">SUM(C66:C106)</f>
        <v>562852.6699999999</v>
      </c>
      <c r="D107" s="34">
        <f t="shared" si="11"/>
        <v>38099.63</v>
      </c>
      <c r="E107" s="34">
        <f t="shared" si="11"/>
        <v>600952.2999999999</v>
      </c>
      <c r="F107" s="34">
        <f t="shared" si="11"/>
        <v>530221.023</v>
      </c>
      <c r="G107" s="34">
        <f t="shared" si="11"/>
        <v>-38099.63</v>
      </c>
      <c r="H107" s="35">
        <f t="shared" si="11"/>
        <v>492121.39300000004</v>
      </c>
    </row>
    <row r="108" spans="1:8" s="10" customFormat="1" ht="11.25">
      <c r="A108" s="40"/>
      <c r="B108" s="20"/>
      <c r="C108" s="34"/>
      <c r="D108" s="34"/>
      <c r="E108" s="34"/>
      <c r="F108" s="34"/>
      <c r="G108" s="34"/>
      <c r="H108" s="35"/>
    </row>
    <row r="109" spans="1:8" s="10" customFormat="1" ht="11.25">
      <c r="A109" s="36" t="s">
        <v>29</v>
      </c>
      <c r="B109" s="20"/>
      <c r="C109" s="21"/>
      <c r="D109" s="22"/>
      <c r="E109" s="22"/>
      <c r="F109" s="21"/>
      <c r="G109" s="22"/>
      <c r="H109" s="23"/>
    </row>
    <row r="110" spans="1:9" s="10" customFormat="1" ht="11.25">
      <c r="A110" s="19" t="s">
        <v>146</v>
      </c>
      <c r="B110" s="20" t="s">
        <v>33</v>
      </c>
      <c r="C110" s="21">
        <v>18888.19</v>
      </c>
      <c r="D110" s="22"/>
      <c r="E110" s="22">
        <f aca="true" t="shared" si="12" ref="E110:E118">C110+D110</f>
        <v>18888.19</v>
      </c>
      <c r="F110" s="21">
        <f>4958.68+4630.7</f>
        <v>9589.380000000001</v>
      </c>
      <c r="G110" s="22"/>
      <c r="H110" s="23">
        <f aca="true" t="shared" si="13" ref="H110:H118">F110+G110</f>
        <v>9589.380000000001</v>
      </c>
      <c r="I110" s="10" t="s">
        <v>168</v>
      </c>
    </row>
    <row r="111" spans="1:8" s="10" customFormat="1" ht="11.25">
      <c r="A111" s="19" t="s">
        <v>145</v>
      </c>
      <c r="B111" s="20"/>
      <c r="C111" s="21">
        <v>2800</v>
      </c>
      <c r="D111" s="22"/>
      <c r="E111" s="22">
        <f t="shared" si="12"/>
        <v>2800</v>
      </c>
      <c r="F111" s="21">
        <v>0</v>
      </c>
      <c r="G111" s="22"/>
      <c r="H111" s="23">
        <f t="shared" si="13"/>
        <v>0</v>
      </c>
    </row>
    <row r="112" spans="1:8" s="10" customFormat="1" ht="11.25">
      <c r="A112" s="19" t="s">
        <v>147</v>
      </c>
      <c r="B112" s="25"/>
      <c r="C112" s="21">
        <v>2750</v>
      </c>
      <c r="D112" s="43"/>
      <c r="E112" s="22">
        <f t="shared" si="12"/>
        <v>2750</v>
      </c>
      <c r="F112" s="21">
        <v>0</v>
      </c>
      <c r="G112" s="43"/>
      <c r="H112" s="23">
        <f t="shared" si="13"/>
        <v>0</v>
      </c>
    </row>
    <row r="113" spans="1:8" s="10" customFormat="1" ht="11.25">
      <c r="A113" s="19" t="s">
        <v>148</v>
      </c>
      <c r="B113" s="25" t="s">
        <v>33</v>
      </c>
      <c r="C113" s="21">
        <v>2000</v>
      </c>
      <c r="D113" s="43"/>
      <c r="E113" s="22">
        <f t="shared" si="12"/>
        <v>2000</v>
      </c>
      <c r="F113" s="21">
        <v>4000</v>
      </c>
      <c r="G113" s="43"/>
      <c r="H113" s="23">
        <f t="shared" si="13"/>
        <v>4000</v>
      </c>
    </row>
    <row r="114" spans="1:8" s="10" customFormat="1" ht="11.25">
      <c r="A114" s="19" t="s">
        <v>149</v>
      </c>
      <c r="B114" s="25" t="s">
        <v>33</v>
      </c>
      <c r="C114" s="21">
        <v>1630.79</v>
      </c>
      <c r="D114" s="43"/>
      <c r="E114" s="22">
        <f t="shared" si="12"/>
        <v>1630.79</v>
      </c>
      <c r="F114" s="21">
        <v>0</v>
      </c>
      <c r="G114" s="43"/>
      <c r="H114" s="23">
        <f t="shared" si="13"/>
        <v>0</v>
      </c>
    </row>
    <row r="115" spans="1:8" s="10" customFormat="1" ht="11.25">
      <c r="A115" s="19" t="s">
        <v>150</v>
      </c>
      <c r="B115" s="25"/>
      <c r="C115" s="21">
        <v>1561.16</v>
      </c>
      <c r="D115" s="43"/>
      <c r="E115" s="22">
        <f t="shared" si="12"/>
        <v>1561.16</v>
      </c>
      <c r="F115" s="21">
        <v>0</v>
      </c>
      <c r="G115" s="43"/>
      <c r="H115" s="23">
        <f t="shared" si="13"/>
        <v>0</v>
      </c>
    </row>
    <row r="116" spans="1:8" s="10" customFormat="1" ht="11.25">
      <c r="A116" s="19" t="s">
        <v>151</v>
      </c>
      <c r="B116" s="25"/>
      <c r="C116" s="21">
        <v>1500</v>
      </c>
      <c r="D116" s="22"/>
      <c r="E116" s="22">
        <f t="shared" si="12"/>
        <v>1500</v>
      </c>
      <c r="F116" s="21">
        <v>1500</v>
      </c>
      <c r="G116" s="22"/>
      <c r="H116" s="23">
        <f t="shared" si="13"/>
        <v>1500</v>
      </c>
    </row>
    <row r="117" spans="1:8" s="10" customFormat="1" ht="11.25">
      <c r="A117" s="24" t="s">
        <v>23</v>
      </c>
      <c r="B117" s="44"/>
      <c r="C117" s="21">
        <v>6853.53</v>
      </c>
      <c r="D117" s="22"/>
      <c r="E117" s="22">
        <f t="shared" si="12"/>
        <v>6853.53</v>
      </c>
      <c r="F117" s="21">
        <f>644.83+94.41+6316.5+1</f>
        <v>7056.74</v>
      </c>
      <c r="G117" s="22"/>
      <c r="H117" s="23">
        <f t="shared" si="13"/>
        <v>7056.74</v>
      </c>
    </row>
    <row r="118" spans="1:8" s="10" customFormat="1" ht="11.25" hidden="1">
      <c r="A118" s="19" t="s">
        <v>60</v>
      </c>
      <c r="B118" s="25"/>
      <c r="C118" s="31">
        <v>0</v>
      </c>
      <c r="D118" s="30"/>
      <c r="E118" s="30">
        <f t="shared" si="12"/>
        <v>0</v>
      </c>
      <c r="F118" s="31">
        <f>4053.83+3000</f>
        <v>7053.83</v>
      </c>
      <c r="G118" s="30"/>
      <c r="H118" s="33">
        <f t="shared" si="13"/>
        <v>7053.83</v>
      </c>
    </row>
    <row r="119" spans="1:8" s="10" customFormat="1" ht="11.25">
      <c r="A119" s="19"/>
      <c r="B119" s="41"/>
      <c r="C119" s="34">
        <f>SUM(C110:C118)</f>
        <v>37983.67</v>
      </c>
      <c r="D119" s="34">
        <f>SUM(D110:D118)</f>
        <v>0</v>
      </c>
      <c r="E119" s="34">
        <f>SUM(E110:E118)</f>
        <v>37983.67</v>
      </c>
      <c r="F119" s="46">
        <f>SUM(F110:F111)</f>
        <v>9589.380000000001</v>
      </c>
      <c r="G119" s="46">
        <f>SUM(G110:G111)</f>
        <v>0</v>
      </c>
      <c r="H119" s="47">
        <f>SUM(H110:H118)</f>
        <v>29199.950000000004</v>
      </c>
    </row>
    <row r="120" spans="1:9" s="10" customFormat="1" ht="11.25">
      <c r="A120" s="19"/>
      <c r="B120" s="41"/>
      <c r="C120" s="31"/>
      <c r="D120" s="48"/>
      <c r="E120" s="48"/>
      <c r="F120" s="41"/>
      <c r="G120" s="41"/>
      <c r="H120" s="49"/>
      <c r="I120" s="45"/>
    </row>
    <row r="121" spans="1:8" s="10" customFormat="1" ht="12" thickBot="1">
      <c r="A121" s="50" t="s">
        <v>24</v>
      </c>
      <c r="B121" s="51"/>
      <c r="C121" s="52">
        <f>C28+C39+C60+C107+C119</f>
        <v>7968777.930000001</v>
      </c>
      <c r="D121" s="52">
        <f>D28+D39+D60+D107+D119</f>
        <v>406304.8000000001</v>
      </c>
      <c r="E121" s="52">
        <f>E28+E39+E60+E107+E119</f>
        <v>8375082.7299999995</v>
      </c>
      <c r="F121" s="53">
        <f>F118+F119+F60+F107+F39+F28</f>
        <v>7626547.403</v>
      </c>
      <c r="G121" s="53">
        <f>G118+G119+G60+G107+G39+G28</f>
        <v>-430706.30000000005</v>
      </c>
      <c r="H121" s="54">
        <f>H119+H60+H107+H39+H28</f>
        <v>6852606.052999999</v>
      </c>
    </row>
    <row r="122" spans="1:6" s="10" customFormat="1" ht="12" hidden="1" thickTop="1">
      <c r="A122" s="42" t="s">
        <v>25</v>
      </c>
      <c r="B122" s="25"/>
      <c r="C122" s="25"/>
      <c r="F122" s="45" t="e">
        <f>SUM(F33:F120)+#REF!</f>
        <v>#REF!</v>
      </c>
    </row>
    <row r="123" spans="1:8" s="18" customFormat="1" ht="16.5" customHeight="1" hidden="1">
      <c r="A123" s="10"/>
      <c r="B123" s="10"/>
      <c r="C123" s="10"/>
      <c r="D123" s="10"/>
      <c r="E123" s="10"/>
      <c r="F123" s="45"/>
      <c r="G123" s="10"/>
      <c r="H123" s="10"/>
    </row>
    <row r="124" s="10" customFormat="1" ht="2.25" customHeight="1" hidden="1"/>
    <row r="125" spans="1:7" s="10" customFormat="1" ht="11.25" hidden="1">
      <c r="A125" s="18"/>
      <c r="B125" s="18"/>
      <c r="C125" s="18"/>
      <c r="D125" s="55"/>
      <c r="G125" s="55"/>
    </row>
    <row r="126" spans="4:8" s="10" customFormat="1" ht="11.25" hidden="1">
      <c r="D126" s="56"/>
      <c r="E126" s="57"/>
      <c r="G126" s="56"/>
      <c r="H126" s="57"/>
    </row>
    <row r="127" spans="4:8" s="10" customFormat="1" ht="12" thickTop="1">
      <c r="D127" s="56"/>
      <c r="E127" s="57"/>
      <c r="G127" s="56"/>
      <c r="H127" s="57"/>
    </row>
    <row r="128" spans="4:8" s="10" customFormat="1" ht="11.25">
      <c r="D128" s="56"/>
      <c r="E128" s="57"/>
      <c r="G128" s="56"/>
      <c r="H128" s="57"/>
    </row>
    <row r="129" spans="4:8" s="10" customFormat="1" ht="11.25">
      <c r="D129" s="56"/>
      <c r="E129" s="56">
        <f>E121*0.05</f>
        <v>418754.1365</v>
      </c>
      <c r="F129" s="55"/>
      <c r="G129" s="56"/>
      <c r="H129" s="57"/>
    </row>
    <row r="130" spans="4:8" s="10" customFormat="1" ht="11.25">
      <c r="D130" s="56"/>
      <c r="E130" s="57"/>
      <c r="G130" s="56"/>
      <c r="H130" s="57"/>
    </row>
    <row r="131" spans="4:8" s="10" customFormat="1" ht="11.25">
      <c r="D131" s="58"/>
      <c r="E131" s="57"/>
      <c r="F131" s="45"/>
      <c r="G131" s="58"/>
      <c r="H131" s="57"/>
    </row>
    <row r="132" spans="4:7" s="10" customFormat="1" ht="11.25">
      <c r="D132" s="59"/>
      <c r="G132" s="59"/>
    </row>
    <row r="133" spans="4:7" s="10" customFormat="1" ht="11.25">
      <c r="D133" s="59"/>
      <c r="G133" s="59"/>
    </row>
    <row r="134" spans="4:8" s="10" customFormat="1" ht="11.25">
      <c r="D134" s="60"/>
      <c r="E134" s="57"/>
      <c r="G134" s="60"/>
      <c r="H134" s="57"/>
    </row>
    <row r="135" spans="4:7" s="10" customFormat="1" ht="11.25">
      <c r="D135" s="60"/>
      <c r="G135" s="60"/>
    </row>
    <row r="136" s="10" customFormat="1" ht="11.25"/>
    <row r="137" spans="5:8" s="10" customFormat="1" ht="11.25">
      <c r="E137" s="59"/>
      <c r="H137" s="59"/>
    </row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pans="1:8" s="10" customFormat="1" ht="12">
      <c r="A173" s="3"/>
      <c r="B173" s="3"/>
      <c r="C173" s="3"/>
      <c r="D173" s="3"/>
      <c r="E173" s="3"/>
      <c r="F173" s="3"/>
      <c r="G173" s="3"/>
      <c r="H173" s="3"/>
    </row>
    <row r="174" spans="1:8" s="10" customFormat="1" ht="12">
      <c r="A174" s="3"/>
      <c r="B174" s="3"/>
      <c r="C174" s="3"/>
      <c r="D174" s="3"/>
      <c r="E174" s="3"/>
      <c r="F174" s="3"/>
      <c r="G174" s="3"/>
      <c r="H174" s="3"/>
    </row>
  </sheetData>
  <sheetProtection/>
  <mergeCells count="3">
    <mergeCell ref="F2:H2"/>
    <mergeCell ref="C2:E2"/>
    <mergeCell ref="E3:H3"/>
  </mergeCells>
  <printOptions gridLines="1"/>
  <pageMargins left="0.5511811023622047" right="0.5511811023622047" top="0.5905511811023623" bottom="0.5905511811023623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2" sqref="B1:B16384"/>
    </sheetView>
  </sheetViews>
  <sheetFormatPr defaultColWidth="9.140625" defaultRowHeight="12.75"/>
  <cols>
    <col min="1" max="1" width="65.00390625" style="0" bestFit="1" customWidth="1"/>
    <col min="2" max="2" width="17.8515625" style="64" bestFit="1" customWidth="1"/>
  </cols>
  <sheetData>
    <row r="1" spans="1:2" ht="12.75">
      <c r="A1" s="107" t="s">
        <v>117</v>
      </c>
      <c r="B1" s="108"/>
    </row>
    <row r="2" spans="1:2" ht="12.75">
      <c r="A2" s="61" t="s">
        <v>92</v>
      </c>
      <c r="B2" s="66" t="str">
        <f>"EW Umsatz Haben"</f>
        <v>EW Umsatz Haben</v>
      </c>
    </row>
    <row r="3" spans="1:2" ht="12.75">
      <c r="A3" t="s">
        <v>93</v>
      </c>
      <c r="B3" s="64">
        <f>2600-1770</f>
        <v>830</v>
      </c>
    </row>
    <row r="4" spans="1:2" ht="12.75">
      <c r="A4" t="s">
        <v>94</v>
      </c>
      <c r="B4" s="64">
        <f>36900.37+37257.82</f>
        <v>74158.19</v>
      </c>
    </row>
    <row r="5" spans="1:2" ht="12.75">
      <c r="A5" t="s">
        <v>95</v>
      </c>
      <c r="B5" s="64">
        <f>22000+7000-10500</f>
        <v>18500</v>
      </c>
    </row>
    <row r="6" spans="1:2" ht="12.75">
      <c r="A6" t="s">
        <v>52</v>
      </c>
      <c r="B6" s="64">
        <f>8295.31-7000</f>
        <v>1295.3099999999995</v>
      </c>
    </row>
    <row r="7" spans="1:2" ht="12.75">
      <c r="A7" t="s">
        <v>96</v>
      </c>
      <c r="B7" s="64">
        <f>2786.1-1762.52</f>
        <v>1023.5799999999999</v>
      </c>
    </row>
    <row r="8" spans="1:2" ht="12.75">
      <c r="A8" t="s">
        <v>97</v>
      </c>
      <c r="B8" s="64">
        <v>10000</v>
      </c>
    </row>
    <row r="9" spans="1:2" ht="12.75">
      <c r="A9" t="s">
        <v>98</v>
      </c>
      <c r="B9" s="64">
        <v>50000</v>
      </c>
    </row>
    <row r="10" spans="1:2" ht="12.75">
      <c r="A10" t="s">
        <v>53</v>
      </c>
      <c r="B10" s="64">
        <f>7000-7000+3250</f>
        <v>3250</v>
      </c>
    </row>
    <row r="11" spans="1:2" ht="12.75">
      <c r="A11" t="s">
        <v>99</v>
      </c>
      <c r="B11" s="64">
        <f>1400+3000-3000</f>
        <v>1400</v>
      </c>
    </row>
    <row r="12" spans="1:2" ht="12.75">
      <c r="A12" t="s">
        <v>100</v>
      </c>
      <c r="B12" s="64">
        <f>2600-1770</f>
        <v>830</v>
      </c>
    </row>
    <row r="13" spans="1:2" ht="12.75">
      <c r="A13" t="s">
        <v>101</v>
      </c>
      <c r="B13" s="64">
        <f>2600-1770</f>
        <v>830</v>
      </c>
    </row>
    <row r="14" spans="1:2" ht="12.75">
      <c r="A14" t="s">
        <v>102</v>
      </c>
      <c r="B14" s="64">
        <f>2600-1770</f>
        <v>830</v>
      </c>
    </row>
    <row r="15" spans="1:2" ht="12.75">
      <c r="A15" t="s">
        <v>103</v>
      </c>
      <c r="B15" s="64">
        <f>2600-1770</f>
        <v>830</v>
      </c>
    </row>
    <row r="16" spans="1:2" ht="12.75">
      <c r="A16" t="s">
        <v>104</v>
      </c>
      <c r="B16" s="64">
        <f>7000+7000-7000</f>
        <v>7000</v>
      </c>
    </row>
    <row r="17" spans="1:2" ht="12.75">
      <c r="A17" t="s">
        <v>43</v>
      </c>
      <c r="B17" s="64">
        <f>3000+3000-3000</f>
        <v>3000</v>
      </c>
    </row>
    <row r="18" spans="1:2" ht="12.75">
      <c r="A18" t="s">
        <v>105</v>
      </c>
      <c r="B18" s="64">
        <f>39866.05-7801.53</f>
        <v>32064.520000000004</v>
      </c>
    </row>
    <row r="19" spans="1:2" ht="12.75">
      <c r="A19" t="s">
        <v>106</v>
      </c>
      <c r="B19" s="64">
        <f>3250+7000-7000+50000</f>
        <v>53250</v>
      </c>
    </row>
    <row r="20" spans="1:2" ht="12.75">
      <c r="A20" t="s">
        <v>107</v>
      </c>
      <c r="B20" s="64">
        <f>7000+12800-7000</f>
        <v>12800</v>
      </c>
    </row>
    <row r="21" spans="1:2" ht="12.75">
      <c r="A21" t="s">
        <v>108</v>
      </c>
      <c r="B21" s="64">
        <v>40000</v>
      </c>
    </row>
    <row r="22" spans="1:2" ht="12.75">
      <c r="A22" t="s">
        <v>109</v>
      </c>
      <c r="B22" s="64">
        <f>7000+7000-7000</f>
        <v>7000</v>
      </c>
    </row>
    <row r="23" spans="1:2" ht="12.75">
      <c r="A23" t="s">
        <v>110</v>
      </c>
      <c r="B23" s="64">
        <f>5600+12000-12000</f>
        <v>5600</v>
      </c>
    </row>
    <row r="24" spans="1:2" ht="12.75">
      <c r="A24" t="s">
        <v>40</v>
      </c>
      <c r="B24" s="64">
        <f>5550+7000-7000+5000+50000-5000</f>
        <v>55550</v>
      </c>
    </row>
    <row r="25" spans="1:2" ht="12.75">
      <c r="A25" t="s">
        <v>111</v>
      </c>
      <c r="B25" s="64">
        <f>3250+7000-7000</f>
        <v>3250</v>
      </c>
    </row>
    <row r="26" spans="1:2" ht="12.75">
      <c r="A26" t="s">
        <v>112</v>
      </c>
      <c r="B26" s="64">
        <f>3250+50000-4300</f>
        <v>48950</v>
      </c>
    </row>
    <row r="27" spans="1:2" ht="12.75">
      <c r="A27" t="s">
        <v>113</v>
      </c>
      <c r="B27" s="64">
        <f>1400+3000-3000</f>
        <v>1400</v>
      </c>
    </row>
    <row r="28" spans="1:2" ht="12.75">
      <c r="A28" t="s">
        <v>79</v>
      </c>
      <c r="B28" s="64">
        <f>2600-1770</f>
        <v>830</v>
      </c>
    </row>
    <row r="29" spans="1:2" ht="12.75">
      <c r="A29" t="s">
        <v>114</v>
      </c>
      <c r="B29" s="64">
        <f>2600-1770</f>
        <v>830</v>
      </c>
    </row>
    <row r="30" spans="1:2" ht="12.75">
      <c r="A30" t="s">
        <v>115</v>
      </c>
      <c r="B30" s="64">
        <v>2000</v>
      </c>
    </row>
    <row r="31" spans="1:2" ht="12.75">
      <c r="A31" t="s">
        <v>116</v>
      </c>
      <c r="B31" s="64">
        <f>50000-10000</f>
        <v>40000</v>
      </c>
    </row>
    <row r="32" spans="1:2" ht="13.5" thickBot="1">
      <c r="A32" s="4"/>
      <c r="B32" s="67">
        <f>SUM(B2:B31)</f>
        <v>477301.60000000003</v>
      </c>
    </row>
    <row r="33" ht="13.5" thickTop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1.8515625" style="0" bestFit="1" customWidth="1"/>
    <col min="2" max="2" width="14.421875" style="64" bestFit="1" customWidth="1"/>
  </cols>
  <sheetData>
    <row r="1" spans="1:2" ht="12.75">
      <c r="A1" s="109" t="s">
        <v>57</v>
      </c>
      <c r="B1" s="109"/>
    </row>
    <row r="2" spans="1:2" ht="12.75">
      <c r="A2" s="5" t="s">
        <v>58</v>
      </c>
      <c r="B2" s="63" t="s">
        <v>59</v>
      </c>
    </row>
    <row r="3" spans="1:2" ht="12.75">
      <c r="A3" t="s">
        <v>118</v>
      </c>
      <c r="B3" s="64">
        <f>11295.18+7593.01</f>
        <v>18888.190000000002</v>
      </c>
    </row>
    <row r="4" spans="1:2" ht="12.75">
      <c r="A4" t="s">
        <v>119</v>
      </c>
      <c r="B4" s="64">
        <v>6750</v>
      </c>
    </row>
    <row r="5" spans="1:2" ht="12.75">
      <c r="A5" t="s">
        <v>120</v>
      </c>
      <c r="B5" s="64">
        <f>50+0.5+80.99+1+25+25+19.84+78.08+76.5+50+50+75.55+35.55+35.79+75.11+75+25+56.44+25+142.66+5+30.05+37.58+12+7+10+10+5+9+12+7+11+10+10+112.71+50+35.63+100+10.86+36.2+23.41+149.21+10+0.3+149.21+100+10+25+78.63+390.53+147.69+620+100+744.45+149.14+2541.92</f>
        <v>6763.530000000001</v>
      </c>
    </row>
    <row r="6" spans="1:2" ht="12.75">
      <c r="A6" t="s">
        <v>121</v>
      </c>
      <c r="B6" s="64">
        <v>4026.09</v>
      </c>
    </row>
    <row r="7" spans="1:2" ht="12.75">
      <c r="A7" t="s">
        <v>122</v>
      </c>
      <c r="B7" s="64">
        <v>2800</v>
      </c>
    </row>
    <row r="8" spans="1:2" ht="12.75">
      <c r="A8" t="s">
        <v>123</v>
      </c>
      <c r="B8" s="64">
        <v>2750</v>
      </c>
    </row>
    <row r="9" spans="1:2" ht="12.75">
      <c r="A9" t="s">
        <v>19</v>
      </c>
      <c r="B9" s="64">
        <f>1000+1000</f>
        <v>2000</v>
      </c>
    </row>
    <row r="10" spans="1:2" ht="12.75">
      <c r="A10" t="s">
        <v>80</v>
      </c>
      <c r="B10" s="64">
        <v>1630.79</v>
      </c>
    </row>
    <row r="11" spans="1:2" ht="12.75">
      <c r="A11" t="s">
        <v>124</v>
      </c>
      <c r="B11" s="64">
        <v>1561.16</v>
      </c>
    </row>
    <row r="12" spans="1:2" ht="12.75">
      <c r="A12" t="s">
        <v>125</v>
      </c>
      <c r="B12" s="64">
        <v>1500</v>
      </c>
    </row>
    <row r="13" spans="1:2" ht="12.75">
      <c r="A13" t="s">
        <v>126</v>
      </c>
      <c r="B13" s="64">
        <v>1500</v>
      </c>
    </row>
    <row r="14" spans="1:2" ht="12.75">
      <c r="A14" t="s">
        <v>127</v>
      </c>
      <c r="B14" s="64">
        <v>1000</v>
      </c>
    </row>
    <row r="15" spans="1:2" ht="12.75">
      <c r="A15" s="6"/>
      <c r="B15" s="65"/>
    </row>
    <row r="16" ht="12.75">
      <c r="B16" s="64">
        <f>SUM(B3:B14)</f>
        <v>51169.76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65.8515625" style="0" customWidth="1"/>
  </cols>
  <sheetData>
    <row r="1" ht="12.75">
      <c r="A1" s="61" t="s">
        <v>154</v>
      </c>
    </row>
    <row r="3" ht="12.75">
      <c r="A3" s="61" t="s">
        <v>155</v>
      </c>
    </row>
    <row r="4" spans="1:2" ht="12.75">
      <c r="A4" t="str">
        <f>Donors!A6</f>
        <v>Ministry for Economic Cooperation and Development (BMZ), Germany</v>
      </c>
      <c r="B4" s="87">
        <f>Donors!E6</f>
        <v>928326.17</v>
      </c>
    </row>
    <row r="5" spans="1:2" ht="12.75">
      <c r="A5" t="str">
        <f>Donors!A20</f>
        <v>Federal Foreign Office, Germany</v>
      </c>
      <c r="B5" s="87">
        <f>Donors!E20</f>
        <v>110417.44</v>
      </c>
    </row>
    <row r="6" spans="1:2" ht="12.75">
      <c r="A6" t="str">
        <f>Donors!A52</f>
        <v>German Corporation for Technical Cooperation (GTZ), Germany</v>
      </c>
      <c r="B6" s="87">
        <f>Donors!E52</f>
        <v>1011.1</v>
      </c>
    </row>
    <row r="7" spans="1:2" ht="12.75">
      <c r="A7" t="str">
        <f>Donors!A66</f>
        <v>SAP AG</v>
      </c>
      <c r="B7" s="87">
        <f>Donors!E66</f>
        <v>90550</v>
      </c>
    </row>
    <row r="8" spans="1:2" ht="12.75">
      <c r="A8" t="str">
        <f>Donors!A69</f>
        <v>Deutsche Bank AG</v>
      </c>
      <c r="B8" s="87">
        <f>Donors!E69</f>
        <v>50000</v>
      </c>
    </row>
    <row r="9" spans="1:2" ht="12.75">
      <c r="A9" t="str">
        <f>Donors!A81</f>
        <v>KPMG</v>
      </c>
      <c r="B9" s="87">
        <f>Donors!E81</f>
        <v>6750</v>
      </c>
    </row>
    <row r="10" spans="1:2" ht="12.75">
      <c r="A10" t="str">
        <f>Donors!A87</f>
        <v>Deutsches Institut für interne Revision</v>
      </c>
      <c r="B10" s="87">
        <f>Donors!E87</f>
        <v>1500</v>
      </c>
    </row>
    <row r="11" spans="1:2" ht="12.75">
      <c r="A11" t="str">
        <f>Donors!A91</f>
        <v>Gemeinnützige Genossenschaft zum Aufbau der Freien Waldorfschule e.G.</v>
      </c>
      <c r="B11" s="87">
        <f>Donors!E91</f>
        <v>1000</v>
      </c>
    </row>
    <row r="12" ht="13.5" thickBot="1">
      <c r="B12" s="110">
        <f>SUM(B4:B11)</f>
        <v>1189554.71</v>
      </c>
    </row>
    <row r="13" ht="13.5" thickTop="1">
      <c r="A13" s="61" t="s">
        <v>156</v>
      </c>
    </row>
    <row r="14" spans="1:2" ht="12.75">
      <c r="A14" s="86" t="str">
        <f>Donors!A8</f>
        <v>Ministry for Foreign Affairs of Finland</v>
      </c>
      <c r="B14" s="87">
        <f>Donors!E8</f>
        <v>873461.49</v>
      </c>
    </row>
    <row r="15" ht="12.75">
      <c r="A15" s="86"/>
    </row>
    <row r="16" ht="12.75">
      <c r="A16" s="61" t="s">
        <v>157</v>
      </c>
    </row>
    <row r="17" spans="1:2" ht="12.75">
      <c r="A17" s="86" t="str">
        <f>Donors!A9</f>
        <v>Ministry of Foreign Affairs, The Netherlands</v>
      </c>
      <c r="B17" s="87">
        <f>Donors!E9</f>
        <v>750000</v>
      </c>
    </row>
    <row r="18" spans="1:2" ht="12.75">
      <c r="A18" s="86" t="str">
        <f>Donors!A71</f>
        <v>Shell International BV/Ltd.</v>
      </c>
      <c r="B18" s="87">
        <f>Donors!E71</f>
        <v>48950</v>
      </c>
    </row>
    <row r="19" spans="1:2" ht="13.5" thickBot="1">
      <c r="A19" s="86"/>
      <c r="B19" s="110">
        <f>SUM(B17:B18)</f>
        <v>798950</v>
      </c>
    </row>
    <row r="20" spans="1:2" ht="13.5" thickTop="1">
      <c r="A20" s="86"/>
      <c r="B20" s="87"/>
    </row>
    <row r="21" spans="1:2" ht="12.75">
      <c r="A21" s="61" t="s">
        <v>163</v>
      </c>
      <c r="B21" s="87"/>
    </row>
    <row r="22" spans="1:2" ht="12.75">
      <c r="A22" s="86" t="str">
        <f>Donors!A15</f>
        <v>Norwegian Agency for International Development (NORAD)</v>
      </c>
      <c r="B22" s="87">
        <f>Donors!E15</f>
        <v>311472.71</v>
      </c>
    </row>
    <row r="23" spans="1:2" ht="12.75">
      <c r="A23" s="86" t="str">
        <f>Donors!A22</f>
        <v>Ministry for Foreign Affairs, Norway</v>
      </c>
      <c r="B23" s="87">
        <f>Donors!E22</f>
        <v>30725.530000000002</v>
      </c>
    </row>
    <row r="24" spans="1:2" ht="12.75">
      <c r="A24" s="86" t="str">
        <f>Donors!A43</f>
        <v>Christian Michelsen Institute (CMI), Norway</v>
      </c>
      <c r="B24" s="87">
        <f>Donors!E43</f>
        <v>105870.51000000001</v>
      </c>
    </row>
    <row r="25" spans="1:2" ht="12.75">
      <c r="A25" s="86" t="str">
        <f>Donors!A68</f>
        <v>Norsk Hydro</v>
      </c>
      <c r="B25" s="87">
        <f>Donors!E68</f>
        <v>53250</v>
      </c>
    </row>
    <row r="26" spans="1:2" ht="13.5" thickBot="1">
      <c r="A26" s="86"/>
      <c r="B26" s="110">
        <f>SUM(B22:B25)</f>
        <v>501318.75000000006</v>
      </c>
    </row>
    <row r="27" spans="1:2" ht="13.5" thickTop="1">
      <c r="A27" s="86"/>
      <c r="B27" s="87"/>
    </row>
    <row r="28" spans="1:2" ht="12.75">
      <c r="A28" s="61" t="s">
        <v>162</v>
      </c>
      <c r="B28" s="87"/>
    </row>
    <row r="29" spans="1:2" ht="12.75">
      <c r="A29" s="86" t="str">
        <f>Donors!A16</f>
        <v>Swiss Agency for Development and Cooperation (SDC)</v>
      </c>
      <c r="B29" s="87">
        <f>Donors!E16</f>
        <v>247335.6</v>
      </c>
    </row>
    <row r="30" spans="1:2" ht="12.75">
      <c r="A30" s="86" t="str">
        <f>Donors!A31</f>
        <v>OSI Development Foundation, Switzerland</v>
      </c>
      <c r="B30" s="87">
        <f>Donors!E31</f>
        <v>160396.72999999998</v>
      </c>
    </row>
    <row r="31" spans="1:2" ht="12.75">
      <c r="A31" s="86" t="str">
        <f>Donors!A32</f>
        <v>AVINA Group, Switzerland</v>
      </c>
      <c r="B31" s="87">
        <f>Donors!E32</f>
        <v>117642.43</v>
      </c>
    </row>
    <row r="32" spans="1:2" ht="12.75">
      <c r="A32" s="86" t="str">
        <f>Donors!A72</f>
        <v>Procter &amp; Gamble CEEMEA</v>
      </c>
      <c r="B32" s="87">
        <f>Donors!E72</f>
        <v>40000</v>
      </c>
    </row>
    <row r="33" spans="1:2" ht="12.75">
      <c r="A33" s="86" t="str">
        <f>Donors!A73</f>
        <v>UBS AG</v>
      </c>
      <c r="B33" s="87">
        <f>Donors!E73</f>
        <v>40000</v>
      </c>
    </row>
    <row r="34" spans="1:2" ht="12.75">
      <c r="A34" s="86" t="str">
        <f>Donors!A78</f>
        <v>Credit Suisse</v>
      </c>
      <c r="B34" s="87">
        <f>Donors!E78</f>
        <v>10000</v>
      </c>
    </row>
    <row r="35" spans="1:2" ht="12.75">
      <c r="A35" s="86" t="str">
        <f>Donors!A89</f>
        <v>Sika Services AG</v>
      </c>
      <c r="B35" s="87">
        <f>Donors!E89</f>
        <v>1400</v>
      </c>
    </row>
    <row r="36" spans="1:2" ht="13.5" thickBot="1">
      <c r="A36" s="86"/>
      <c r="B36" s="110">
        <f>SUM(B29:B35)</f>
        <v>616774.76</v>
      </c>
    </row>
    <row r="37" spans="1:2" ht="13.5" thickTop="1">
      <c r="A37" s="86"/>
      <c r="B37" s="87"/>
    </row>
    <row r="38" ht="12.75">
      <c r="A38" s="61" t="s">
        <v>169</v>
      </c>
    </row>
    <row r="39" spans="1:2" ht="12.75">
      <c r="A39" t="str">
        <f>Donors!A10</f>
        <v>Department for International Development, United Kingdom (DfID) PPA</v>
      </c>
      <c r="B39" s="87">
        <f>Donors!E10</f>
        <v>367918</v>
      </c>
    </row>
    <row r="40" spans="1:2" ht="12.75">
      <c r="A40" t="str">
        <f>Donors!A11</f>
        <v>Department for International Development, United Kingdom (DfID)</v>
      </c>
      <c r="B40" s="87">
        <f>Donors!E11</f>
        <v>310197.75</v>
      </c>
    </row>
    <row r="41" spans="1:2" ht="12.75">
      <c r="A41" t="str">
        <f>Donors!A21</f>
        <v>Foreign &amp; Commonwealth Office, UK (FCO)</v>
      </c>
      <c r="B41" s="87">
        <f>Donors!E21</f>
        <v>109873.21</v>
      </c>
    </row>
    <row r="42" spans="1:2" ht="12.75">
      <c r="A42" t="str">
        <f>Donors!A70</f>
        <v>Ernst &amp; Young</v>
      </c>
      <c r="B42" s="87">
        <f>Donors!E70</f>
        <v>50000</v>
      </c>
    </row>
    <row r="43" spans="1:2" ht="12.75">
      <c r="A43" t="str">
        <f>Donors!A67</f>
        <v>Anglo American Group Foundation</v>
      </c>
      <c r="B43" s="87">
        <f>Donors!E67</f>
        <v>74158.19</v>
      </c>
    </row>
    <row r="44" spans="1:2" ht="12.75">
      <c r="A44" t="str">
        <f>Donors!A76</f>
        <v>BP International</v>
      </c>
      <c r="B44" s="87">
        <f>Donors!E76</f>
        <v>18500</v>
      </c>
    </row>
    <row r="45" spans="1:2" ht="12.75">
      <c r="A45" t="str">
        <f>Donors!A79</f>
        <v>HSBC Holdings plc</v>
      </c>
      <c r="B45" s="87">
        <f>Donors!E79</f>
        <v>7000</v>
      </c>
    </row>
    <row r="46" spans="1:2" ht="12.75">
      <c r="A46" t="str">
        <f>Donors!A82</f>
        <v>Rio Tinto London Ltd.</v>
      </c>
      <c r="B46" s="87">
        <f>Donors!E82</f>
        <v>5600</v>
      </c>
    </row>
    <row r="47" spans="1:2" ht="12.75">
      <c r="A47" t="str">
        <f>Donors!A85</f>
        <v>International Federation of Inspection Agencies</v>
      </c>
      <c r="B47" s="87">
        <f>Donors!E85</f>
        <v>3000</v>
      </c>
    </row>
    <row r="48" spans="1:2" ht="12.75">
      <c r="A48" t="str">
        <f>Donors!A88</f>
        <v>F&amp;C Asset Management PLC</v>
      </c>
      <c r="B48" s="87">
        <f>Donors!E88</f>
        <v>1400</v>
      </c>
    </row>
    <row r="49" ht="13.5" thickBot="1">
      <c r="B49" s="110">
        <f>SUM(B39:B48)</f>
        <v>947647.1499999999</v>
      </c>
    </row>
    <row r="50" spans="2:3" ht="13.5" thickTop="1">
      <c r="B50" s="87"/>
      <c r="C50" s="95" t="s">
        <v>161</v>
      </c>
    </row>
    <row r="51" ht="12.75">
      <c r="A51" s="61" t="s">
        <v>158</v>
      </c>
    </row>
    <row r="52" spans="1:2" ht="12.75">
      <c r="A52" t="str">
        <f>Donors!A12</f>
        <v>Royal Danish Ministry of Foreign Affairs (DANIDA)</v>
      </c>
      <c r="B52" s="87">
        <f>Donors!E12</f>
        <v>521973.4</v>
      </c>
    </row>
    <row r="53" ht="12.75">
      <c r="B53" s="87"/>
    </row>
    <row r="54" spans="1:2" ht="12.75">
      <c r="A54" s="61" t="s">
        <v>2</v>
      </c>
      <c r="B54" s="87">
        <f>Donors!E7</f>
        <v>900527.41</v>
      </c>
    </row>
    <row r="55" ht="12.75">
      <c r="B55" s="87"/>
    </row>
    <row r="56" spans="1:2" ht="12.75">
      <c r="A56" s="61" t="s">
        <v>160</v>
      </c>
      <c r="B56" s="87"/>
    </row>
    <row r="57" spans="1:2" ht="12.75">
      <c r="A57" s="61" t="s">
        <v>159</v>
      </c>
      <c r="B57" s="87"/>
    </row>
    <row r="58" spans="1:2" ht="12.75">
      <c r="A58" t="str">
        <f>Donors!A13</f>
        <v>Canadian International Development Agency (CIDA)</v>
      </c>
      <c r="B58" s="87">
        <f>Donors!E13</f>
        <v>515194.54</v>
      </c>
    </row>
    <row r="59" spans="1:2" ht="12.75">
      <c r="A59" t="str">
        <f>Donors!A74</f>
        <v>Nexen Inc.</v>
      </c>
      <c r="B59" s="87">
        <f>Donors!E74</f>
        <v>32064.52</v>
      </c>
    </row>
    <row r="60" ht="13.5" thickBot="1">
      <c r="B60" s="110">
        <f>SUM(B58:B59)</f>
        <v>547259.0599999999</v>
      </c>
    </row>
    <row r="61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Afiefah Bibi Osman</cp:lastModifiedBy>
  <cp:lastPrinted>2009-11-10T13:18:44Z</cp:lastPrinted>
  <dcterms:created xsi:type="dcterms:W3CDTF">2005-04-21T09:40:16Z</dcterms:created>
  <dcterms:modified xsi:type="dcterms:W3CDTF">2009-11-16T09:47:33Z</dcterms:modified>
  <cp:category/>
  <cp:version/>
  <cp:contentType/>
  <cp:contentStatus/>
</cp:coreProperties>
</file>